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codeName="DieseArbeitsmappe" defaultThemeVersion="123820"/>
  <mc:AlternateContent xmlns:mc="http://schemas.openxmlformats.org/markup-compatibility/2006">
    <mc:Choice Requires="x15">
      <x15ac:absPath xmlns:x15ac="http://schemas.microsoft.com/office/spreadsheetml/2010/11/ac" url="D:\Eigene Dateien\Excel\Excel2018\Materialien\Kapitel09\"/>
    </mc:Choice>
  </mc:AlternateContent>
  <xr:revisionPtr revIDLastSave="0" documentId="13_ncr:1_{5B38E3F5-6B56-4C8A-AAE7-DF05D7339A6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abelle1" sheetId="1" r:id="rId1"/>
    <sheet name="Tabelle2" sheetId="2" r:id="rId2"/>
    <sheet name="Tabelle3" sheetId="3" r:id="rId3"/>
    <sheet name="Tabelle4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6" i="1" l="1"/>
  <c r="L36" i="1"/>
  <c r="L27" i="1"/>
  <c r="J2" i="1"/>
  <c r="B16" i="4"/>
  <c r="B15" i="4"/>
  <c r="H13" i="3"/>
  <c r="H12" i="3"/>
  <c r="B12" i="1"/>
  <c r="B11" i="1"/>
  <c r="D2" i="1"/>
  <c r="H2" i="1"/>
  <c r="D3" i="1"/>
  <c r="D4" i="1"/>
  <c r="H4" i="1"/>
  <c r="A6" i="1"/>
  <c r="B3" i="1" s="1"/>
  <c r="E6" i="1"/>
  <c r="F2" i="1" s="1"/>
  <c r="H6" i="1"/>
  <c r="H7" i="1"/>
  <c r="B8" i="1"/>
  <c r="H8" i="1"/>
  <c r="J8" i="1"/>
  <c r="B9" i="1"/>
  <c r="E9" i="1"/>
  <c r="F9" i="1" s="1"/>
  <c r="G9" i="1" s="1"/>
  <c r="E10" i="1" s="1"/>
  <c r="F10" i="1" s="1"/>
  <c r="G10" i="1" s="1"/>
  <c r="E11" i="1" s="1"/>
  <c r="F11" i="1" s="1"/>
  <c r="G11" i="1" s="1"/>
  <c r="E12" i="1" s="1"/>
  <c r="F12" i="1" s="1"/>
  <c r="G12" i="1" s="1"/>
  <c r="E13" i="1" s="1"/>
  <c r="F13" i="1" s="1"/>
  <c r="G13" i="1" s="1"/>
  <c r="J9" i="1"/>
  <c r="J11" i="1"/>
  <c r="M12" i="1"/>
  <c r="L13" i="1" s="1"/>
  <c r="M13" i="1" s="1"/>
  <c r="H14" i="1"/>
  <c r="J16" i="1"/>
  <c r="F17" i="1"/>
  <c r="J17" i="1"/>
  <c r="A18" i="1"/>
  <c r="B18" i="1" s="1"/>
  <c r="J18" i="1"/>
  <c r="F19" i="1"/>
  <c r="J19" i="1"/>
  <c r="F22" i="1"/>
  <c r="F23" i="1"/>
  <c r="I23" i="1"/>
  <c r="J23" i="1" s="1"/>
  <c r="I24" i="1" s="1"/>
  <c r="M23" i="1"/>
  <c r="F24" i="1"/>
  <c r="G27" i="1"/>
  <c r="G28" i="1" s="1"/>
  <c r="G29" i="1" s="1"/>
  <c r="L28" i="1"/>
  <c r="L32" i="1"/>
  <c r="G33" i="1"/>
  <c r="G34" i="1" s="1"/>
  <c r="I74" i="1"/>
  <c r="K74" i="1"/>
  <c r="M74" i="1"/>
  <c r="I75" i="1"/>
  <c r="K75" i="1"/>
  <c r="B85" i="1"/>
  <c r="B2" i="2"/>
  <c r="A3" i="2" s="1"/>
  <c r="B3" i="2" s="1"/>
  <c r="A4" i="2" s="1"/>
  <c r="B4" i="2" s="1"/>
  <c r="A5" i="2" s="1"/>
  <c r="B5" i="2" s="1"/>
  <c r="A6" i="2" s="1"/>
  <c r="B6" i="2" s="1"/>
  <c r="A7" i="2" s="1"/>
  <c r="B7" i="2" s="1"/>
  <c r="A8" i="2" s="1"/>
  <c r="B8" i="2" s="1"/>
  <c r="A9" i="2" s="1"/>
  <c r="B9" i="2" s="1"/>
  <c r="A10" i="2" s="1"/>
  <c r="B10" i="2" s="1"/>
  <c r="A11" i="2" s="1"/>
  <c r="B11" i="2" s="1"/>
  <c r="A12" i="2" s="1"/>
  <c r="B12" i="2" s="1"/>
  <c r="A13" i="2" s="1"/>
  <c r="B13" i="2" s="1"/>
  <c r="A14" i="2" s="1"/>
  <c r="B14" i="2" s="1"/>
  <c r="A15" i="2" s="1"/>
  <c r="B15" i="2" s="1"/>
  <c r="A16" i="2" s="1"/>
  <c r="B16" i="2" s="1"/>
  <c r="A17" i="2" s="1"/>
  <c r="B17" i="2" s="1"/>
  <c r="A18" i="2" s="1"/>
  <c r="B18" i="2" s="1"/>
  <c r="A19" i="2" s="1"/>
  <c r="B19" i="2" s="1"/>
  <c r="A20" i="2" s="1"/>
  <c r="B20" i="2" s="1"/>
  <c r="A21" i="2" s="1"/>
  <c r="B21" i="2" s="1"/>
  <c r="A22" i="2" s="1"/>
  <c r="B22" i="2" s="1"/>
  <c r="A23" i="2" s="1"/>
  <c r="B23" i="2" s="1"/>
  <c r="A24" i="2" s="1"/>
  <c r="B24" i="2" s="1"/>
  <c r="A25" i="2" s="1"/>
  <c r="B25" i="2" s="1"/>
  <c r="A26" i="2" s="1"/>
  <c r="B26" i="2" s="1"/>
  <c r="A27" i="2" s="1"/>
  <c r="B27" i="2" s="1"/>
  <c r="A28" i="2" s="1"/>
  <c r="B28" i="2" s="1"/>
  <c r="A29" i="2" s="1"/>
  <c r="B29" i="2" s="1"/>
  <c r="A30" i="2" s="1"/>
  <c r="B30" i="2" s="1"/>
  <c r="A31" i="2" s="1"/>
  <c r="B31" i="2" s="1"/>
  <c r="A32" i="2" s="1"/>
  <c r="B32" i="2" s="1"/>
  <c r="A33" i="2" s="1"/>
  <c r="B33" i="2" s="1"/>
  <c r="A34" i="2" s="1"/>
  <c r="B34" i="2" s="1"/>
  <c r="A35" i="2" s="1"/>
  <c r="B35" i="2" s="1"/>
  <c r="A36" i="2" s="1"/>
  <c r="B36" i="2" s="1"/>
  <c r="A37" i="2" s="1"/>
  <c r="B37" i="2" s="1"/>
  <c r="A38" i="2" s="1"/>
  <c r="B38" i="2" s="1"/>
  <c r="A39" i="2" s="1"/>
  <c r="B39" i="2" s="1"/>
  <c r="A40" i="2" s="1"/>
  <c r="B40" i="2" s="1"/>
  <c r="A41" i="2" s="1"/>
  <c r="B41" i="2" s="1"/>
  <c r="A42" i="2" s="1"/>
  <c r="B42" i="2" s="1"/>
  <c r="A43" i="2" s="1"/>
  <c r="B43" i="2" s="1"/>
  <c r="A44" i="2" s="1"/>
  <c r="B44" i="2" s="1"/>
  <c r="A45" i="2" s="1"/>
  <c r="B45" i="2" s="1"/>
  <c r="A46" i="2" s="1"/>
  <c r="B46" i="2" s="1"/>
  <c r="A47" i="2" s="1"/>
  <c r="B47" i="2" s="1"/>
  <c r="A48" i="2" s="1"/>
  <c r="B48" i="2" s="1"/>
  <c r="A49" i="2" s="1"/>
  <c r="B49" i="2" s="1"/>
  <c r="A50" i="2" s="1"/>
  <c r="B50" i="2" s="1"/>
  <c r="A51" i="2" s="1"/>
  <c r="B51" i="2" s="1"/>
  <c r="A52" i="2" s="1"/>
  <c r="B52" i="2" s="1"/>
  <c r="A53" i="2" s="1"/>
  <c r="B53" i="2" s="1"/>
  <c r="A54" i="2" s="1"/>
  <c r="B54" i="2" s="1"/>
  <c r="A55" i="2" s="1"/>
  <c r="B55" i="2" s="1"/>
  <c r="A56" i="2" s="1"/>
  <c r="B56" i="2" s="1"/>
  <c r="A57" i="2" s="1"/>
  <c r="B57" i="2" s="1"/>
  <c r="A58" i="2" s="1"/>
  <c r="B58" i="2" s="1"/>
  <c r="A59" i="2" s="1"/>
  <c r="B59" i="2" s="1"/>
  <c r="A60" i="2" s="1"/>
  <c r="B60" i="2" s="1"/>
  <c r="A61" i="2" s="1"/>
  <c r="B61" i="2" s="1"/>
  <c r="A62" i="2" s="1"/>
  <c r="B62" i="2" s="1"/>
  <c r="A63" i="2" s="1"/>
  <c r="B63" i="2" s="1"/>
  <c r="A64" i="2" s="1"/>
  <c r="B64" i="2" s="1"/>
  <c r="A65" i="2" s="1"/>
  <c r="B65" i="2" s="1"/>
  <c r="A66" i="2" s="1"/>
  <c r="B66" i="2" s="1"/>
  <c r="A67" i="2" s="1"/>
  <c r="B67" i="2" s="1"/>
  <c r="A68" i="2" s="1"/>
  <c r="B68" i="2" s="1"/>
  <c r="A69" i="2" s="1"/>
  <c r="B69" i="2" s="1"/>
  <c r="A70" i="2" s="1"/>
  <c r="B70" i="2" s="1"/>
  <c r="A71" i="2" s="1"/>
  <c r="B71" i="2" s="1"/>
  <c r="A72" i="2" s="1"/>
  <c r="B72" i="2" s="1"/>
  <c r="A73" i="2" s="1"/>
  <c r="B73" i="2" s="1"/>
  <c r="A74" i="2" s="1"/>
  <c r="B74" i="2" s="1"/>
  <c r="A75" i="2" s="1"/>
  <c r="B75" i="2" s="1"/>
  <c r="A76" i="2" s="1"/>
  <c r="B76" i="2" s="1"/>
  <c r="A77" i="2" s="1"/>
  <c r="B77" i="2" s="1"/>
  <c r="A78" i="2" s="1"/>
  <c r="B78" i="2" s="1"/>
  <c r="A79" i="2" s="1"/>
  <c r="B79" i="2" s="1"/>
  <c r="A80" i="2" s="1"/>
  <c r="B80" i="2" s="1"/>
  <c r="A81" i="2" s="1"/>
  <c r="B81" i="2" s="1"/>
  <c r="A82" i="2" s="1"/>
  <c r="B82" i="2" s="1"/>
  <c r="A83" i="2" s="1"/>
  <c r="B83" i="2" s="1"/>
  <c r="A84" i="2" s="1"/>
  <c r="B84" i="2" s="1"/>
  <c r="A85" i="2" s="1"/>
  <c r="B85" i="2" s="1"/>
  <c r="A86" i="2" s="1"/>
  <c r="B86" i="2" s="1"/>
  <c r="A87" i="2" s="1"/>
  <c r="B87" i="2" s="1"/>
  <c r="A88" i="2" s="1"/>
  <c r="B88" i="2" s="1"/>
  <c r="A89" i="2" s="1"/>
  <c r="B89" i="2" s="1"/>
  <c r="A90" i="2" s="1"/>
  <c r="B90" i="2" s="1"/>
  <c r="A91" i="2" s="1"/>
  <c r="B91" i="2" s="1"/>
  <c r="B6" i="3"/>
  <c r="B9" i="3"/>
  <c r="C9" i="3" s="1"/>
  <c r="H9" i="3"/>
  <c r="H10" i="3"/>
  <c r="B8" i="4"/>
  <c r="B9" i="4"/>
  <c r="B11" i="4"/>
  <c r="B12" i="4"/>
  <c r="B13" i="4"/>
  <c r="B18" i="4"/>
  <c r="F4" i="1"/>
  <c r="B4" i="1"/>
  <c r="B2" i="1"/>
  <c r="B13" i="1" s="1"/>
  <c r="F3" i="1" l="1"/>
  <c r="J24" i="1"/>
  <c r="I25" i="1" s="1"/>
  <c r="D9" i="3"/>
  <c r="E9" i="3" s="1"/>
  <c r="B10" i="3" s="1"/>
  <c r="C10" i="3" s="1"/>
  <c r="D10" i="3" s="1"/>
  <c r="C18" i="1"/>
  <c r="D18" i="1" s="1"/>
  <c r="A19" i="1" s="1"/>
  <c r="L14" i="1"/>
  <c r="J25" i="1" l="1"/>
  <c r="I26" i="1" s="1"/>
  <c r="J26" i="1" s="1"/>
  <c r="I27" i="1" s="1"/>
  <c r="M14" i="1"/>
  <c r="L15" i="1" s="1"/>
  <c r="B19" i="1"/>
  <c r="C19" i="1" s="1"/>
  <c r="D19" i="1" s="1"/>
  <c r="A20" i="1" s="1"/>
  <c r="E10" i="3"/>
  <c r="B11" i="3" s="1"/>
  <c r="M15" i="1" l="1"/>
  <c r="L16" i="1"/>
  <c r="J27" i="1"/>
  <c r="I28" i="1" s="1"/>
  <c r="B20" i="1"/>
  <c r="C20" i="1" s="1"/>
  <c r="D20" i="1" s="1"/>
  <c r="A21" i="1" s="1"/>
  <c r="C11" i="3"/>
  <c r="J28" i="1" l="1"/>
  <c r="I29" i="1" s="1"/>
  <c r="D11" i="3"/>
  <c r="B21" i="1"/>
  <c r="C21" i="1" s="1"/>
  <c r="D21" i="1" s="1"/>
  <c r="A22" i="1" s="1"/>
  <c r="M16" i="1"/>
  <c r="L17" i="1" s="1"/>
  <c r="J29" i="1" l="1"/>
  <c r="I30" i="1" s="1"/>
  <c r="E11" i="3"/>
  <c r="B12" i="3" s="1"/>
  <c r="B22" i="1"/>
  <c r="C22" i="1" s="1"/>
  <c r="D22" i="1" s="1"/>
  <c r="A23" i="1" s="1"/>
  <c r="J30" i="1" l="1"/>
  <c r="I31" i="1" s="1"/>
  <c r="B23" i="1"/>
  <c r="C23" i="1" s="1"/>
  <c r="D23" i="1" s="1"/>
  <c r="A24" i="1" s="1"/>
  <c r="C12" i="3"/>
  <c r="J31" i="1" l="1"/>
  <c r="I32" i="1" s="1"/>
  <c r="B24" i="1"/>
  <c r="C24" i="1" s="1"/>
  <c r="D24" i="1" s="1"/>
  <c r="A25" i="1" s="1"/>
  <c r="D12" i="3"/>
  <c r="J32" i="1" l="1"/>
  <c r="I33" i="1" s="1"/>
  <c r="B25" i="1"/>
  <c r="C25" i="1" s="1"/>
  <c r="D25" i="1" s="1"/>
  <c r="A26" i="1" s="1"/>
  <c r="E12" i="3"/>
  <c r="B13" i="3" s="1"/>
  <c r="J33" i="1" l="1"/>
  <c r="I34" i="1" s="1"/>
  <c r="B26" i="1"/>
  <c r="C26" i="1" s="1"/>
  <c r="D26" i="1" s="1"/>
  <c r="A27" i="1" s="1"/>
  <c r="C13" i="3"/>
  <c r="J34" i="1" l="1"/>
  <c r="I35" i="1" s="1"/>
  <c r="B27" i="1"/>
  <c r="C27" i="1" s="1"/>
  <c r="D27" i="1" s="1"/>
  <c r="A28" i="1" s="1"/>
  <c r="D13" i="3"/>
  <c r="J35" i="1" l="1"/>
  <c r="I36" i="1" s="1"/>
  <c r="B28" i="1"/>
  <c r="C28" i="1" s="1"/>
  <c r="D28" i="1" s="1"/>
  <c r="A29" i="1" s="1"/>
  <c r="E13" i="3"/>
  <c r="B14" i="3" s="1"/>
  <c r="J36" i="1" l="1"/>
  <c r="I37" i="1" s="1"/>
  <c r="B29" i="1"/>
  <c r="C29" i="1" s="1"/>
  <c r="D29" i="1" s="1"/>
  <c r="A30" i="1" s="1"/>
  <c r="C14" i="3"/>
  <c r="D14" i="3" s="1"/>
  <c r="E14" i="3" s="1"/>
  <c r="B15" i="3" s="1"/>
  <c r="C15" i="3" l="1"/>
  <c r="D15" i="3" s="1"/>
  <c r="E15" i="3" s="1"/>
  <c r="B16" i="3" s="1"/>
  <c r="J37" i="1"/>
  <c r="I38" i="1" s="1"/>
  <c r="B30" i="1"/>
  <c r="C30" i="1" s="1"/>
  <c r="D30" i="1" s="1"/>
  <c r="A31" i="1" s="1"/>
  <c r="C16" i="3" l="1"/>
  <c r="D16" i="3" s="1"/>
  <c r="E16" i="3" s="1"/>
  <c r="B17" i="3" s="1"/>
  <c r="B31" i="1"/>
  <c r="C31" i="1" s="1"/>
  <c r="D31" i="1" s="1"/>
  <c r="A32" i="1" s="1"/>
  <c r="J38" i="1"/>
  <c r="I39" i="1" s="1"/>
  <c r="J39" i="1" l="1"/>
  <c r="I40" i="1" s="1"/>
  <c r="C17" i="3"/>
  <c r="D17" i="3" s="1"/>
  <c r="E17" i="3" s="1"/>
  <c r="B18" i="3" s="1"/>
  <c r="B32" i="1"/>
  <c r="C32" i="1" s="1"/>
  <c r="D32" i="1" s="1"/>
  <c r="A33" i="1" s="1"/>
  <c r="B33" i="1" l="1"/>
  <c r="C33" i="1" s="1"/>
  <c r="D33" i="1" s="1"/>
  <c r="A34" i="1" s="1"/>
  <c r="J40" i="1"/>
  <c r="I41" i="1" s="1"/>
  <c r="C18" i="3"/>
  <c r="D18" i="3" s="1"/>
  <c r="E18" i="3" s="1"/>
  <c r="B19" i="3" s="1"/>
  <c r="C19" i="3" l="1"/>
  <c r="D19" i="3" s="1"/>
  <c r="E19" i="3" s="1"/>
  <c r="B20" i="3" s="1"/>
  <c r="B34" i="1"/>
  <c r="C34" i="1" s="1"/>
  <c r="D34" i="1" s="1"/>
  <c r="A35" i="1" s="1"/>
  <c r="J41" i="1"/>
  <c r="I42" i="1" s="1"/>
  <c r="J42" i="1" l="1"/>
  <c r="I43" i="1" s="1"/>
  <c r="C20" i="3"/>
  <c r="B35" i="1"/>
  <c r="C35" i="1" s="1"/>
  <c r="D35" i="1" s="1"/>
  <c r="A36" i="1" s="1"/>
  <c r="J43" i="1" l="1"/>
  <c r="I44" i="1" s="1"/>
  <c r="B36" i="1"/>
  <c r="C36" i="1" s="1"/>
  <c r="D36" i="1" s="1"/>
  <c r="A37" i="1" s="1"/>
  <c r="D20" i="3"/>
  <c r="C22" i="3"/>
  <c r="J44" i="1" l="1"/>
  <c r="I45" i="1" s="1"/>
  <c r="B37" i="1"/>
  <c r="C37" i="1" s="1"/>
  <c r="D37" i="1" s="1"/>
  <c r="A38" i="1" s="1"/>
  <c r="D22" i="3"/>
  <c r="E20" i="3"/>
  <c r="J45" i="1" l="1"/>
  <c r="I46" i="1" s="1"/>
  <c r="B38" i="1"/>
  <c r="C38" i="1" s="1"/>
  <c r="D38" i="1" s="1"/>
  <c r="A39" i="1" s="1"/>
  <c r="J46" i="1" l="1"/>
  <c r="I47" i="1" s="1"/>
  <c r="B39" i="1"/>
  <c r="C39" i="1" s="1"/>
  <c r="D39" i="1" s="1"/>
  <c r="A40" i="1" s="1"/>
  <c r="J47" i="1" l="1"/>
  <c r="I48" i="1" s="1"/>
  <c r="B40" i="1"/>
  <c r="C40" i="1" s="1"/>
  <c r="D40" i="1" s="1"/>
  <c r="A41" i="1" s="1"/>
  <c r="J48" i="1" l="1"/>
  <c r="I49" i="1" s="1"/>
  <c r="B41" i="1"/>
  <c r="C41" i="1" s="1"/>
  <c r="D41" i="1" s="1"/>
  <c r="A42" i="1" s="1"/>
  <c r="J49" i="1" l="1"/>
  <c r="I50" i="1" s="1"/>
  <c r="B42" i="1"/>
  <c r="C42" i="1" s="1"/>
  <c r="D42" i="1" s="1"/>
  <c r="A43" i="1" s="1"/>
  <c r="J50" i="1" l="1"/>
  <c r="I51" i="1" s="1"/>
  <c r="B43" i="1"/>
  <c r="C43" i="1" s="1"/>
  <c r="D43" i="1" s="1"/>
  <c r="A44" i="1" s="1"/>
  <c r="J51" i="1" l="1"/>
  <c r="I52" i="1" s="1"/>
  <c r="B44" i="1"/>
  <c r="C44" i="1" s="1"/>
  <c r="D44" i="1" s="1"/>
  <c r="A45" i="1" s="1"/>
  <c r="J52" i="1" l="1"/>
  <c r="I53" i="1" s="1"/>
  <c r="B45" i="1"/>
  <c r="C45" i="1" s="1"/>
  <c r="D45" i="1" s="1"/>
  <c r="A46" i="1" s="1"/>
  <c r="J53" i="1" l="1"/>
  <c r="I54" i="1" s="1"/>
  <c r="B46" i="1"/>
  <c r="C46" i="1" s="1"/>
  <c r="D46" i="1" s="1"/>
  <c r="A47" i="1" s="1"/>
  <c r="J54" i="1" l="1"/>
  <c r="I55" i="1" s="1"/>
  <c r="B47" i="1"/>
  <c r="C47" i="1" s="1"/>
  <c r="D47" i="1" s="1"/>
  <c r="A48" i="1" s="1"/>
  <c r="J55" i="1" l="1"/>
  <c r="I56" i="1" s="1"/>
  <c r="B48" i="1"/>
  <c r="C48" i="1" s="1"/>
  <c r="D48" i="1" s="1"/>
  <c r="A49" i="1" s="1"/>
  <c r="J56" i="1" l="1"/>
  <c r="I57" i="1" s="1"/>
  <c r="B49" i="1"/>
  <c r="C49" i="1" s="1"/>
  <c r="D49" i="1" s="1"/>
  <c r="A50" i="1" s="1"/>
  <c r="J57" i="1" l="1"/>
  <c r="I58" i="1" s="1"/>
  <c r="B50" i="1"/>
  <c r="C50" i="1" s="1"/>
  <c r="D50" i="1" s="1"/>
  <c r="A51" i="1" s="1"/>
  <c r="B51" i="1" l="1"/>
  <c r="C51" i="1" s="1"/>
  <c r="D51" i="1" s="1"/>
  <c r="A52" i="1" s="1"/>
  <c r="J58" i="1"/>
  <c r="I59" i="1" s="1"/>
  <c r="B52" i="1" l="1"/>
  <c r="C52" i="1" s="1"/>
  <c r="D52" i="1" s="1"/>
  <c r="A53" i="1" s="1"/>
  <c r="J59" i="1"/>
  <c r="I60" i="1" s="1"/>
  <c r="B53" i="1" l="1"/>
  <c r="C53" i="1" s="1"/>
  <c r="D53" i="1" s="1"/>
  <c r="A54" i="1" s="1"/>
  <c r="J60" i="1"/>
  <c r="I61" i="1" s="1"/>
  <c r="B54" i="1" l="1"/>
  <c r="C54" i="1" s="1"/>
  <c r="D54" i="1" s="1"/>
  <c r="A55" i="1" s="1"/>
  <c r="J61" i="1"/>
  <c r="I62" i="1" s="1"/>
  <c r="B55" i="1" l="1"/>
  <c r="C55" i="1" s="1"/>
  <c r="D55" i="1" s="1"/>
  <c r="A56" i="1" s="1"/>
  <c r="J62" i="1"/>
  <c r="I63" i="1" s="1"/>
  <c r="B56" i="1" l="1"/>
  <c r="C56" i="1" s="1"/>
  <c r="D56" i="1" s="1"/>
  <c r="A57" i="1" s="1"/>
  <c r="J63" i="1"/>
  <c r="I64" i="1" s="1"/>
  <c r="B57" i="1" l="1"/>
  <c r="C57" i="1" s="1"/>
  <c r="D57" i="1" s="1"/>
  <c r="A58" i="1" s="1"/>
  <c r="J64" i="1"/>
  <c r="I65" i="1" s="1"/>
  <c r="B58" i="1" l="1"/>
  <c r="C58" i="1" s="1"/>
  <c r="D58" i="1" s="1"/>
  <c r="A59" i="1" s="1"/>
  <c r="J65" i="1"/>
  <c r="I66" i="1" s="1"/>
  <c r="B59" i="1" l="1"/>
  <c r="C59" i="1" s="1"/>
  <c r="D59" i="1" s="1"/>
  <c r="A60" i="1" s="1"/>
  <c r="J66" i="1"/>
  <c r="I67" i="1"/>
  <c r="B60" i="1" l="1"/>
  <c r="C60" i="1" s="1"/>
  <c r="D60" i="1" s="1"/>
  <c r="A61" i="1" s="1"/>
  <c r="J67" i="1"/>
  <c r="I68" i="1" s="1"/>
  <c r="B61" i="1" l="1"/>
  <c r="C61" i="1" s="1"/>
  <c r="D61" i="1" s="1"/>
  <c r="A62" i="1" s="1"/>
  <c r="J68" i="1"/>
  <c r="I69" i="1" s="1"/>
  <c r="B62" i="1" l="1"/>
  <c r="C62" i="1" s="1"/>
  <c r="D62" i="1" s="1"/>
  <c r="A63" i="1" s="1"/>
  <c r="J69" i="1"/>
  <c r="I70" i="1" s="1"/>
  <c r="B63" i="1" l="1"/>
  <c r="C63" i="1" s="1"/>
  <c r="D63" i="1" s="1"/>
  <c r="A64" i="1" s="1"/>
  <c r="B64" i="1" l="1"/>
  <c r="C64" i="1" s="1"/>
  <c r="D64" i="1" s="1"/>
  <c r="A65" i="1" s="1"/>
  <c r="B65" i="1" l="1"/>
  <c r="C65" i="1" s="1"/>
  <c r="D65" i="1" s="1"/>
  <c r="A66" i="1" s="1"/>
  <c r="B66" i="1" l="1"/>
  <c r="C66" i="1" s="1"/>
  <c r="D66" i="1" s="1"/>
  <c r="A67" i="1" s="1"/>
  <c r="B67" i="1" l="1"/>
  <c r="C67" i="1" s="1"/>
  <c r="D67" i="1" s="1"/>
  <c r="A68" i="1" s="1"/>
  <c r="B68" i="1" l="1"/>
  <c r="C68" i="1" s="1"/>
  <c r="D68" i="1" s="1"/>
  <c r="A69" i="1" s="1"/>
  <c r="B69" i="1" l="1"/>
  <c r="C69" i="1" s="1"/>
  <c r="D69" i="1" s="1"/>
  <c r="A70" i="1" s="1"/>
  <c r="B70" i="1" l="1"/>
  <c r="C70" i="1" s="1"/>
  <c r="D70" i="1" s="1"/>
  <c r="A71" i="1" s="1"/>
  <c r="B71" i="1" l="1"/>
  <c r="C71" i="1" s="1"/>
  <c r="D71" i="1" s="1"/>
  <c r="A72" i="1" s="1"/>
  <c r="B72" i="1" l="1"/>
  <c r="C72" i="1" s="1"/>
  <c r="D72" i="1" s="1"/>
  <c r="A73" i="1" s="1"/>
  <c r="B73" i="1" l="1"/>
  <c r="C73" i="1" s="1"/>
  <c r="D73" i="1" s="1"/>
  <c r="A74" i="1" s="1"/>
  <c r="B74" i="1" l="1"/>
  <c r="C74" i="1" s="1"/>
  <c r="D74" i="1" s="1"/>
  <c r="A75" i="1" s="1"/>
  <c r="B75" i="1" l="1"/>
  <c r="C75" i="1" s="1"/>
  <c r="D75" i="1" s="1"/>
  <c r="A76" i="1" s="1"/>
  <c r="B76" i="1" l="1"/>
  <c r="C76" i="1" s="1"/>
  <c r="D76" i="1" s="1"/>
  <c r="A77" i="1" s="1"/>
  <c r="B77" i="1" l="1"/>
  <c r="C77" i="1" s="1"/>
  <c r="D77" i="1" s="1"/>
</calcChain>
</file>

<file path=xl/sharedStrings.xml><?xml version="1.0" encoding="utf-8"?>
<sst xmlns="http://schemas.openxmlformats.org/spreadsheetml/2006/main" count="38" uniqueCount="25">
  <si>
    <t>RMZ</t>
  </si>
  <si>
    <t>ZZR</t>
  </si>
  <si>
    <t>BW</t>
  </si>
  <si>
    <t>ZW</t>
  </si>
  <si>
    <t>ZINSZ</t>
  </si>
  <si>
    <t>ZINS</t>
  </si>
  <si>
    <t>Schulden</t>
  </si>
  <si>
    <t>Guthaben</t>
  </si>
  <si>
    <t xml:space="preserve">Tilgung: </t>
  </si>
  <si>
    <t>KAPZ</t>
  </si>
  <si>
    <t>KUMZINSZ</t>
  </si>
  <si>
    <t>KUMKAPITAL</t>
  </si>
  <si>
    <t>Summe:</t>
  </si>
  <si>
    <t>Anfangsschuld:</t>
  </si>
  <si>
    <t>Zins:</t>
  </si>
  <si>
    <t>Tilgung:</t>
  </si>
  <si>
    <t>Endschuld:</t>
  </si>
  <si>
    <t>IKV für 4 Jahre:</t>
  </si>
  <si>
    <t>IKV für 5 Jahre:</t>
  </si>
  <si>
    <t>QIKV für 3 Jahre:</t>
  </si>
  <si>
    <t>QIKV für 4 Jahre:</t>
  </si>
  <si>
    <t>QIKV für 5 Jahre:</t>
  </si>
  <si>
    <t>XINTZINSFUSS:</t>
  </si>
  <si>
    <t>NBARWERT</t>
  </si>
  <si>
    <t>XKAPITALWERT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</si>
</sst>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\ &quot;DM&quot;;[Red]\-#,##0.00\ &quot;DM&quot;"/>
    <numFmt numFmtId="165" formatCode="_-* #,##0.00\ &quot;DM&quot;_-;\-* #,##0.00\ &quot;DM&quot;_-;_-* &quot;-&quot;??\ &quot;DM&quot;_-;_-@_-"/>
    <numFmt numFmtId="166" formatCode="_-* #,##0.00\ _D_M_-;\-* #,##0.00\ _D_M_-;_-* &quot;-&quot;??\ _D_M_-;_-@_-"/>
    <numFmt numFmtId="167" formatCode="0.000%"/>
    <numFmt numFmtId="168" formatCode="_-* #,##0.00\ [$€-407]_-;\-* #,##0.00\ [$€-407]_-;_-* &quot;-&quot;??\ [$€-407]_-;_-@_-"/>
  </numFmts>
  <fonts count="1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indexed="41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rgb="FFC6EFCE"/>
        <bgColor rgb="FFC6EFCE"/>
      </patternFill>
    </fill>
    <fill>
      <patternFill patternType="solid">
        <fgColor rgb="FFFFC7CE"/>
        <bgColor rgb="FFFFC7CE"/>
      </patternFill>
    </fill>
    <fill>
      <patternFill patternType="solid">
        <fgColor rgb="FFFFEB9C"/>
        <bgColor rgb="FFFFEB9C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FFCC99"/>
        <bgColor rgb="FFFFCC99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solid">
        <fgColor rgb="FFFFFFCC"/>
        <bgColor rgb="FFFFFFCC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0" fontId="17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8" fillId="32" borderId="0" applyNumberFormat="0" applyBorder="0" applyAlignment="0" applyProtection="0"/>
    <xf numFmtId="0" fontId="18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35" borderId="0" applyNumberFormat="0" applyBorder="0" applyAlignment="0" applyProtection="0"/>
    <xf numFmtId="0" fontId="18" fillId="36" borderId="0" applyNumberFormat="0" applyBorder="0" applyAlignment="0" applyProtection="0"/>
    <xf numFmtId="0" fontId="18" fillId="37" borderId="0" applyNumberFormat="0" applyBorder="0" applyAlignment="0" applyProtection="0"/>
    <xf numFmtId="0" fontId="17" fillId="38" borderId="0" applyNumberFormat="0" applyBorder="0" applyAlignment="0" applyProtection="0"/>
    <xf numFmtId="0" fontId="12" fillId="12" borderId="5" applyNumberFormat="0" applyAlignment="0" applyProtection="0"/>
    <xf numFmtId="0" fontId="13" fillId="12" borderId="4" applyNumberFormat="0" applyAlignment="0" applyProtection="0"/>
    <xf numFmtId="0" fontId="3" fillId="0" borderId="0" applyNumberFormat="0" applyFill="0" applyBorder="0" applyAlignment="0" applyProtection="0"/>
    <xf numFmtId="0" fontId="11" fillId="11" borderId="4" applyNumberFormat="0" applyAlignment="0" applyProtection="0"/>
    <xf numFmtId="0" fontId="10" fillId="0" borderId="9" applyNumberFormat="0" applyFill="0" applyAlignment="0" applyProtection="0"/>
    <xf numFmtId="0" fontId="7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166" fontId="1" fillId="0" borderId="0" applyFont="0" applyFill="0" applyBorder="0" applyAlignment="0" applyProtection="0"/>
    <xf numFmtId="0" fontId="9" fillId="7" borderId="0" applyNumberFormat="0" applyBorder="0" applyAlignment="0" applyProtection="0"/>
    <xf numFmtId="0" fontId="2" fillId="14" borderId="8" applyNumberFormat="0" applyFont="0" applyAlignment="0" applyProtection="0"/>
    <xf numFmtId="9" fontId="1" fillId="0" borderId="0" applyFont="0" applyFill="0" applyBorder="0" applyAlignment="0" applyProtection="0"/>
    <xf numFmtId="0" fontId="8" fillId="6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14" fillId="0" borderId="6" applyNumberFormat="0" applyFill="0" applyAlignment="0" applyProtection="0"/>
    <xf numFmtId="165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5" fillId="13" borderId="7" applyNumberFormat="0" applyAlignment="0" applyProtection="0"/>
  </cellStyleXfs>
  <cellXfs count="18">
    <xf numFmtId="0" fontId="0" fillId="0" borderId="0" xfId="0"/>
    <xf numFmtId="9" fontId="0" fillId="0" borderId="0" xfId="0" applyNumberFormat="1"/>
    <xf numFmtId="164" fontId="0" fillId="0" borderId="0" xfId="0" applyNumberFormat="1"/>
    <xf numFmtId="10" fontId="0" fillId="0" borderId="0" xfId="0" applyNumberFormat="1"/>
    <xf numFmtId="167" fontId="0" fillId="0" borderId="0" xfId="0" applyNumberFormat="1"/>
    <xf numFmtId="0" fontId="0" fillId="2" borderId="0" xfId="0" applyFill="1"/>
    <xf numFmtId="0" fontId="0" fillId="3" borderId="0" xfId="0" applyFill="1"/>
    <xf numFmtId="10" fontId="0" fillId="3" borderId="0" xfId="0" applyNumberFormat="1" applyFill="1"/>
    <xf numFmtId="14" fontId="0" fillId="0" borderId="0" xfId="0" applyNumberFormat="1"/>
    <xf numFmtId="166" fontId="0" fillId="0" borderId="0" xfId="34" applyFont="1"/>
    <xf numFmtId="14" fontId="0" fillId="0" borderId="0" xfId="34" applyNumberFormat="1" applyFont="1"/>
    <xf numFmtId="10" fontId="0" fillId="0" borderId="0" xfId="37" applyNumberFormat="1" applyFont="1"/>
    <xf numFmtId="165" fontId="0" fillId="0" borderId="0" xfId="0" applyNumberFormat="1"/>
    <xf numFmtId="168" fontId="0" fillId="0" borderId="0" xfId="44" applyNumberFormat="1" applyFont="1"/>
    <xf numFmtId="168" fontId="0" fillId="0" borderId="0" xfId="0" applyNumberFormat="1"/>
    <xf numFmtId="168" fontId="0" fillId="3" borderId="0" xfId="0" applyNumberFormat="1" applyFill="1"/>
    <xf numFmtId="168" fontId="0" fillId="4" borderId="0" xfId="0" applyNumberFormat="1" applyFill="1"/>
    <xf numFmtId="168" fontId="0" fillId="0" borderId="0" xfId="37" applyNumberFormat="1" applyFont="1"/>
  </cellXfs>
  <cellStyles count="47">
    <cellStyle name="Akzent1" xfId="1" builtinId="29" customBuiltin="1"/>
    <cellStyle name="Akzent1 - 20%" xfId="2" xr:uid="{00000000-0005-0000-0000-000001000000}"/>
    <cellStyle name="Akzent1 - 40%" xfId="3" xr:uid="{00000000-0005-0000-0000-000002000000}"/>
    <cellStyle name="Akzent1 - 60%" xfId="4" xr:uid="{00000000-0005-0000-0000-000003000000}"/>
    <cellStyle name="Akzent2" xfId="5" builtinId="33" customBuiltin="1"/>
    <cellStyle name="Akzent2 - 20%" xfId="6" xr:uid="{00000000-0005-0000-0000-000005000000}"/>
    <cellStyle name="Akzent2 - 40%" xfId="7" xr:uid="{00000000-0005-0000-0000-000006000000}"/>
    <cellStyle name="Akzent2 - 60%" xfId="8" xr:uid="{00000000-0005-0000-0000-000007000000}"/>
    <cellStyle name="Akzent3" xfId="9" builtinId="37" customBuiltin="1"/>
    <cellStyle name="Akzent3 - 20%" xfId="10" xr:uid="{00000000-0005-0000-0000-000009000000}"/>
    <cellStyle name="Akzent3 - 40%" xfId="11" xr:uid="{00000000-0005-0000-0000-00000A000000}"/>
    <cellStyle name="Akzent3 - 60%" xfId="12" xr:uid="{00000000-0005-0000-0000-00000B000000}"/>
    <cellStyle name="Akzent4" xfId="13" builtinId="41" customBuiltin="1"/>
    <cellStyle name="Akzent4 - 20%" xfId="14" xr:uid="{00000000-0005-0000-0000-00000D000000}"/>
    <cellStyle name="Akzent4 - 40%" xfId="15" xr:uid="{00000000-0005-0000-0000-00000E000000}"/>
    <cellStyle name="Akzent4 - 60%" xfId="16" xr:uid="{00000000-0005-0000-0000-00000F000000}"/>
    <cellStyle name="Akzent5" xfId="17" builtinId="45" customBuiltin="1"/>
    <cellStyle name="Akzent5 - 20%" xfId="18" xr:uid="{00000000-0005-0000-0000-000011000000}"/>
    <cellStyle name="Akzent5 - 40%" xfId="19" xr:uid="{00000000-0005-0000-0000-000012000000}"/>
    <cellStyle name="Akzent5 - 60%" xfId="20" xr:uid="{00000000-0005-0000-0000-000013000000}"/>
    <cellStyle name="Akzent6" xfId="21" builtinId="49" customBuiltin="1"/>
    <cellStyle name="Akzent6 - 20%" xfId="22" xr:uid="{00000000-0005-0000-0000-000015000000}"/>
    <cellStyle name="Akzent6 - 40%" xfId="23" xr:uid="{00000000-0005-0000-0000-000016000000}"/>
    <cellStyle name="Akzent6 - 60%" xfId="24" xr:uid="{00000000-0005-0000-0000-000017000000}"/>
    <cellStyle name="Ausgabe" xfId="25" builtinId="21" customBuiltin="1"/>
    <cellStyle name="Berechnung" xfId="26" builtinId="22" customBuiltin="1"/>
    <cellStyle name="Blattüberschrift" xfId="27" xr:uid="{00000000-0005-0000-0000-00001A000000}"/>
    <cellStyle name="Eingabe" xfId="28" builtinId="20" customBuiltin="1"/>
    <cellStyle name="Ergebnis" xfId="29" builtinId="25" customBuiltin="1"/>
    <cellStyle name="Gut" xfId="30" builtinId="26" customBuiltin="1"/>
    <cellStyle name="Hervorhebung 1" xfId="31" xr:uid="{00000000-0005-0000-0000-00001F000000}"/>
    <cellStyle name="Hervorhebung 2" xfId="32" xr:uid="{00000000-0005-0000-0000-000020000000}"/>
    <cellStyle name="Hervorhebung 3" xfId="33" xr:uid="{00000000-0005-0000-0000-000021000000}"/>
    <cellStyle name="Komma" xfId="34" builtinId="3"/>
    <cellStyle name="Neutral" xfId="35" builtinId="28" customBuiltin="1"/>
    <cellStyle name="Notiz" xfId="36" builtinId="10" customBuiltin="1"/>
    <cellStyle name="Prozent" xfId="37" builtinId="5"/>
    <cellStyle name="Schlecht" xfId="38" builtinId="27" customBuiltin="1"/>
    <cellStyle name="Standard" xfId="0" builtinId="0"/>
    <cellStyle name="Überschrift 1" xfId="39" builtinId="16" customBuiltin="1"/>
    <cellStyle name="Überschrift 2" xfId="40" builtinId="17" customBuiltin="1"/>
    <cellStyle name="Überschrift 3" xfId="41" builtinId="18" customBuiltin="1"/>
    <cellStyle name="Überschrift 4" xfId="42" builtinId="19" customBuiltin="1"/>
    <cellStyle name="Verknüpfte Zelle" xfId="43" builtinId="24" customBuiltin="1"/>
    <cellStyle name="Währung" xfId="44" builtinId="4"/>
    <cellStyle name="Warnender Text" xfId="45" builtinId="11" customBuiltin="1"/>
    <cellStyle name="Zelle prüfen" xfId="46" xr:uid="{00000000-0005-0000-0000-00002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86"/>
  <sheetViews>
    <sheetView tabSelected="1" workbookViewId="0"/>
  </sheetViews>
  <sheetFormatPr baseColWidth="10" defaultRowHeight="12.75" x14ac:dyDescent="0.2"/>
  <cols>
    <col min="1" max="3" width="12.7109375" style="14" bestFit="1" customWidth="1"/>
    <col min="4" max="4" width="13.28515625" style="14" bestFit="1" customWidth="1"/>
    <col min="5" max="5" width="12.7109375" style="14" bestFit="1" customWidth="1"/>
    <col min="6" max="6" width="13.28515625" style="14" bestFit="1" customWidth="1"/>
    <col min="7" max="7" width="11.85546875" style="14" bestFit="1" customWidth="1"/>
    <col min="8" max="8" width="13.28515625" style="14" bestFit="1" customWidth="1"/>
    <col min="9" max="9" width="11.85546875" style="14" bestFit="1" customWidth="1"/>
    <col min="10" max="11" width="11.5703125" style="14" bestFit="1" customWidth="1"/>
    <col min="12" max="12" width="11.85546875" style="14" bestFit="1" customWidth="1"/>
    <col min="13" max="13" width="11.5703125" style="14" bestFit="1" customWidth="1"/>
    <col min="14" max="16384" width="11.42578125" style="14"/>
  </cols>
  <sheetData>
    <row r="1" spans="1:13" x14ac:dyDescent="0.2">
      <c r="A1" s="14" t="s">
        <v>6</v>
      </c>
      <c r="E1" s="14" t="s">
        <v>7</v>
      </c>
    </row>
    <row r="2" spans="1:13" x14ac:dyDescent="0.2">
      <c r="A2" s="14">
        <v>50000</v>
      </c>
      <c r="B2" s="14">
        <f>PV(A3/A5,A4*A5,-A6)</f>
        <v>50000.000000000218</v>
      </c>
      <c r="C2" s="14" t="s">
        <v>2</v>
      </c>
      <c r="D2" s="14">
        <f>PV(5.2%/12,15*12,400.63)</f>
        <v>-50000.552765274784</v>
      </c>
      <c r="E2" s="14">
        <v>25000</v>
      </c>
      <c r="F2" s="14">
        <f>PV(E3,E4,0,-E6)</f>
        <v>25000</v>
      </c>
      <c r="G2" s="14" t="s">
        <v>2</v>
      </c>
      <c r="H2" s="14">
        <f>PMT(6%,65-18,1000000)</f>
        <v>-64147.680450375607</v>
      </c>
      <c r="J2" s="14">
        <f>DOLLARFR(0.25,1)</f>
        <v>0.25</v>
      </c>
    </row>
    <row r="3" spans="1:13" x14ac:dyDescent="0.2">
      <c r="A3" s="14">
        <v>5.1999999999999998E-2</v>
      </c>
      <c r="B3" s="14">
        <f>RATE(A4*A5,A6,-A2)*A5</f>
        <v>5.2000000000002808E-2</v>
      </c>
      <c r="C3" s="14" t="s">
        <v>5</v>
      </c>
      <c r="D3" s="14">
        <f>RATE(15*12,400.63,-50000)*12</f>
        <v>5.2001687801241786E-2</v>
      </c>
      <c r="E3" s="14">
        <v>7.1999999999999995E-2</v>
      </c>
      <c r="F3" s="14">
        <f>RATE(E4,0,-E2,E6,,7.1%)</f>
        <v>7.1999999999902434E-2</v>
      </c>
      <c r="G3" s="14" t="s">
        <v>5</v>
      </c>
    </row>
    <row r="4" spans="1:13" x14ac:dyDescent="0.2">
      <c r="A4" s="14">
        <v>15</v>
      </c>
      <c r="B4" s="14">
        <f>NPER(A3/A5,A6,-A2,0)</f>
        <v>180.00000000000134</v>
      </c>
      <c r="C4" s="14" t="s">
        <v>1</v>
      </c>
      <c r="D4" s="14">
        <f>NPER(5.2%/12,400.63,-50000)</f>
        <v>179.99698871690475</v>
      </c>
      <c r="E4" s="14">
        <v>5</v>
      </c>
      <c r="F4" s="14">
        <f>NPER(E3,0,-E2,E6)</f>
        <v>5.0000000000000036</v>
      </c>
      <c r="G4" s="14" t="s">
        <v>1</v>
      </c>
      <c r="H4" s="14">
        <f>4147*47</f>
        <v>194909</v>
      </c>
    </row>
    <row r="5" spans="1:13" x14ac:dyDescent="0.2">
      <c r="A5" s="14">
        <v>12</v>
      </c>
    </row>
    <row r="6" spans="1:13" x14ac:dyDescent="0.2">
      <c r="A6" s="14">
        <f>PMT(A3/A5,A4*A5,-A2)</f>
        <v>400.62557096192523</v>
      </c>
      <c r="C6" s="14" t="s">
        <v>0</v>
      </c>
      <c r="E6" s="14">
        <f>FV(E3,E4,0,-E2)</f>
        <v>35392.719604940816</v>
      </c>
      <c r="G6" s="14" t="s">
        <v>3</v>
      </c>
      <c r="H6" s="14">
        <f>PMT(6%,5,-24000)</f>
        <v>5697.5136103485502</v>
      </c>
    </row>
    <row r="7" spans="1:13" x14ac:dyDescent="0.2">
      <c r="H7" s="14">
        <f>FV(5%,20,-2000)</f>
        <v>66131.908205776825</v>
      </c>
    </row>
    <row r="8" spans="1:13" x14ac:dyDescent="0.2">
      <c r="B8" s="14">
        <f>PPMT(A3/A5,1,A4*A5,-A2)</f>
        <v>183.95890429525858</v>
      </c>
      <c r="C8" s="14" t="s">
        <v>9</v>
      </c>
      <c r="H8" s="14">
        <f>NPER(5%,-6000,66131.91)</f>
        <v>16.416289555072552</v>
      </c>
      <c r="J8" s="14">
        <f>5000*4%</f>
        <v>200</v>
      </c>
    </row>
    <row r="9" spans="1:13" x14ac:dyDescent="0.2">
      <c r="B9" s="14">
        <f>IPMT(A3/A5,1,A4*A5,-A2)</f>
        <v>216.66666666666666</v>
      </c>
      <c r="C9" s="14" t="s">
        <v>4</v>
      </c>
      <c r="E9" s="14">
        <f>E2</f>
        <v>25000</v>
      </c>
      <c r="F9" s="14">
        <f>E9*$E$3</f>
        <v>1799.9999999999998</v>
      </c>
      <c r="G9" s="14">
        <f>F9+E9</f>
        <v>26800</v>
      </c>
      <c r="J9" s="14">
        <f>4%*5200</f>
        <v>208</v>
      </c>
    </row>
    <row r="10" spans="1:13" x14ac:dyDescent="0.2">
      <c r="E10" s="14">
        <f>G9</f>
        <v>26800</v>
      </c>
      <c r="F10" s="14">
        <f>E10*$E$3</f>
        <v>1929.6</v>
      </c>
      <c r="G10" s="14">
        <f>F10+E10</f>
        <v>28729.599999999999</v>
      </c>
    </row>
    <row r="11" spans="1:13" x14ac:dyDescent="0.2">
      <c r="B11" s="14">
        <f>CUMIPMT(A3/A5,A4*A5,A2,1,3,0)</f>
        <v>-647.60507990473673</v>
      </c>
      <c r="C11" s="14" t="s">
        <v>10</v>
      </c>
      <c r="E11" s="14">
        <f>G10</f>
        <v>28729.599999999999</v>
      </c>
      <c r="F11" s="14">
        <f>E11*$E$3</f>
        <v>2068.5311999999999</v>
      </c>
      <c r="G11" s="14">
        <f>F11+E11</f>
        <v>30798.1312</v>
      </c>
      <c r="J11" s="14">
        <f>5000*((1+4%)^5)</f>
        <v>6083.2645120000016</v>
      </c>
    </row>
    <row r="12" spans="1:13" x14ac:dyDescent="0.2">
      <c r="B12" s="14">
        <f>CUMPRINC(A3/A5,A4*A5,A2,1,12,0)</f>
        <v>-2260.8865140367575</v>
      </c>
      <c r="C12" s="14" t="s">
        <v>11</v>
      </c>
      <c r="E12" s="14">
        <f>G11</f>
        <v>30798.1312</v>
      </c>
      <c r="F12" s="14">
        <f>E12*$E$3</f>
        <v>2217.4654464</v>
      </c>
      <c r="G12" s="14">
        <f>F12+E12</f>
        <v>33015.596646400001</v>
      </c>
      <c r="L12" s="14">
        <v>5000</v>
      </c>
      <c r="M12" s="14">
        <f>L12*4%</f>
        <v>200</v>
      </c>
    </row>
    <row r="13" spans="1:13" x14ac:dyDescent="0.2">
      <c r="B13" s="17">
        <f>B12/-B2</f>
        <v>4.5217730280734954E-2</v>
      </c>
      <c r="E13" s="14">
        <f>G12</f>
        <v>33015.596646400001</v>
      </c>
      <c r="F13" s="14">
        <f>E13*$E$3</f>
        <v>2377.1229585408</v>
      </c>
      <c r="G13" s="14">
        <f>F13+E13</f>
        <v>35392.719604940801</v>
      </c>
      <c r="L13" s="14">
        <f>L12+M12</f>
        <v>5200</v>
      </c>
      <c r="M13" s="14">
        <f>L13*4%</f>
        <v>208</v>
      </c>
    </row>
    <row r="14" spans="1:13" x14ac:dyDescent="0.2">
      <c r="H14" s="14">
        <f>1000000*(1.06-1)/((1.06)^47-1)</f>
        <v>4147.680450375592</v>
      </c>
      <c r="L14" s="14">
        <f>L13+M13</f>
        <v>5408</v>
      </c>
      <c r="M14" s="14">
        <f>L14*4%</f>
        <v>216.32</v>
      </c>
    </row>
    <row r="15" spans="1:13" x14ac:dyDescent="0.2">
      <c r="L15" s="14">
        <f>L14+M14</f>
        <v>5624.32</v>
      </c>
      <c r="M15" s="14">
        <f>L15*4%</f>
        <v>224.97280000000001</v>
      </c>
    </row>
    <row r="16" spans="1:13" x14ac:dyDescent="0.2">
      <c r="F16" s="14">
        <f>NPER(4%,0-5000,- 6083.26)</f>
        <v>-1.2115780848131981</v>
      </c>
      <c r="J16" s="14">
        <f>SLN(12000,2000,4)</f>
        <v>2500</v>
      </c>
      <c r="L16" s="14">
        <f>L15+M15</f>
        <v>5849.2927999999993</v>
      </c>
      <c r="M16" s="14">
        <f>L16*4%</f>
        <v>233.97171199999997</v>
      </c>
    </row>
    <row r="17" spans="1:13" x14ac:dyDescent="0.2">
      <c r="F17" s="14">
        <f>NPER(4%,0,-5000,6083.26)</f>
        <v>4.9999810888880729</v>
      </c>
      <c r="J17" s="14">
        <f>DDB(12000,2000,4,1)</f>
        <v>6000</v>
      </c>
      <c r="L17" s="14">
        <f>L16+M16</f>
        <v>6083.2645119999988</v>
      </c>
    </row>
    <row r="18" spans="1:13" x14ac:dyDescent="0.2">
      <c r="A18" s="14">
        <f>A2</f>
        <v>50000</v>
      </c>
      <c r="B18" s="14">
        <f>A18*$A$3/$A$5</f>
        <v>216.66666666666666</v>
      </c>
      <c r="C18" s="14">
        <f>$A$6-B18</f>
        <v>183.95890429525858</v>
      </c>
      <c r="D18" s="14">
        <f>A18-C18</f>
        <v>49816.041095704742</v>
      </c>
      <c r="E18" s="14">
        <v>1</v>
      </c>
      <c r="J18" s="14">
        <f>DB(12000,2000,4,4)</f>
        <v>1130.2929595080002</v>
      </c>
    </row>
    <row r="19" spans="1:13" x14ac:dyDescent="0.2">
      <c r="A19" s="14">
        <f>D18</f>
        <v>49816.041095704742</v>
      </c>
      <c r="B19" s="14">
        <f>A19*$A$3/$A$5</f>
        <v>215.86951141472056</v>
      </c>
      <c r="C19" s="14">
        <f>$A$6-B19</f>
        <v>184.75605954720467</v>
      </c>
      <c r="D19" s="14">
        <f>A19-C19</f>
        <v>49631.28503615754</v>
      </c>
      <c r="E19" s="14">
        <v>2</v>
      </c>
      <c r="F19" s="14">
        <f>RATE(5,0,-5000,6083.26)</f>
        <v>3.9999845725071433E-2</v>
      </c>
      <c r="J19" s="14">
        <f>SYD(12000,2000,4,4)</f>
        <v>1000</v>
      </c>
    </row>
    <row r="20" spans="1:13" x14ac:dyDescent="0.2">
      <c r="A20" s="14">
        <f t="shared" ref="A20:A77" si="0">D19</f>
        <v>49631.28503615754</v>
      </c>
      <c r="B20" s="14">
        <f t="shared" ref="B20:B77" si="1">A20*$A$3/$A$5</f>
        <v>215.06890182334931</v>
      </c>
      <c r="C20" s="14">
        <f t="shared" ref="C20:C77" si="2">$A$6-B20</f>
        <v>185.55666913857593</v>
      </c>
      <c r="D20" s="14">
        <f t="shared" ref="D20:D77" si="3">A20-C20</f>
        <v>49445.728367018964</v>
      </c>
      <c r="E20" s="14">
        <v>3</v>
      </c>
    </row>
    <row r="21" spans="1:13" x14ac:dyDescent="0.2">
      <c r="A21" s="14">
        <f t="shared" si="0"/>
        <v>49445.728367018964</v>
      </c>
      <c r="B21" s="14">
        <f t="shared" si="1"/>
        <v>214.26482292374885</v>
      </c>
      <c r="C21" s="14">
        <f t="shared" si="2"/>
        <v>186.36074803817638</v>
      </c>
      <c r="D21" s="14">
        <f t="shared" si="3"/>
        <v>49259.367618980788</v>
      </c>
      <c r="E21" s="14">
        <v>4</v>
      </c>
    </row>
    <row r="22" spans="1:13" x14ac:dyDescent="0.2">
      <c r="A22" s="14">
        <f t="shared" si="0"/>
        <v>49259.367618980788</v>
      </c>
      <c r="B22" s="14">
        <f t="shared" si="1"/>
        <v>213.45725968225008</v>
      </c>
      <c r="C22" s="14">
        <f t="shared" si="2"/>
        <v>187.16831127967515</v>
      </c>
      <c r="D22" s="14">
        <f t="shared" si="3"/>
        <v>49072.199307701114</v>
      </c>
      <c r="E22" s="14">
        <v>5</v>
      </c>
      <c r="F22" s="14">
        <f>PV(4%,5,-5000, 6083.26)</f>
        <v>17259.115363616165</v>
      </c>
    </row>
    <row r="23" spans="1:13" x14ac:dyDescent="0.2">
      <c r="A23" s="14">
        <f t="shared" si="0"/>
        <v>49072.199307701114</v>
      </c>
      <c r="B23" s="14">
        <f t="shared" si="1"/>
        <v>212.64619700003814</v>
      </c>
      <c r="C23" s="14">
        <f t="shared" si="2"/>
        <v>187.97937396188709</v>
      </c>
      <c r="D23" s="14">
        <f t="shared" si="3"/>
        <v>48884.21993373923</v>
      </c>
      <c r="E23" s="14">
        <v>6</v>
      </c>
      <c r="F23" s="14">
        <f>PV(4%,5,5000,0,-6083.26)</f>
        <v>-23149.476121284297</v>
      </c>
      <c r="H23" s="14">
        <v>1</v>
      </c>
      <c r="I23" s="14">
        <f>1000000*(1.06-1)/((1.06)^47-1)</f>
        <v>4147.680450375592</v>
      </c>
      <c r="J23" s="14">
        <f>I23*6%</f>
        <v>248.86082702253552</v>
      </c>
      <c r="L23" s="14">
        <v>500</v>
      </c>
      <c r="M23" s="14">
        <f>NPV(5%,L23)</f>
        <v>476.19047619047615</v>
      </c>
    </row>
    <row r="24" spans="1:13" x14ac:dyDescent="0.2">
      <c r="A24" s="14">
        <f t="shared" si="0"/>
        <v>48884.21993373923</v>
      </c>
      <c r="B24" s="14">
        <f t="shared" si="1"/>
        <v>211.83161971286998</v>
      </c>
      <c r="C24" s="14">
        <f t="shared" si="2"/>
        <v>188.79395124905525</v>
      </c>
      <c r="D24" s="14">
        <f t="shared" si="3"/>
        <v>48695.425982490175</v>
      </c>
      <c r="E24" s="14">
        <v>7</v>
      </c>
      <c r="F24" s="14">
        <f>PV(4%,5,0,-6083.26)</f>
        <v>4999.9962914648931</v>
      </c>
      <c r="H24" s="14">
        <v>2</v>
      </c>
      <c r="I24" s="14">
        <f>I23+J23</f>
        <v>4396.5412773981279</v>
      </c>
      <c r="J24" s="14">
        <f>I24*6%</f>
        <v>263.79247664388765</v>
      </c>
    </row>
    <row r="25" spans="1:13" x14ac:dyDescent="0.2">
      <c r="A25" s="14">
        <f t="shared" si="0"/>
        <v>48695.425982490175</v>
      </c>
      <c r="B25" s="14">
        <f t="shared" si="1"/>
        <v>211.01351259079073</v>
      </c>
      <c r="C25" s="14">
        <f t="shared" si="2"/>
        <v>189.61205837113451</v>
      </c>
      <c r="D25" s="14">
        <f t="shared" si="3"/>
        <v>48505.813924119037</v>
      </c>
      <c r="E25" s="14">
        <v>8</v>
      </c>
      <c r="H25" s="14">
        <v>3</v>
      </c>
      <c r="I25" s="14">
        <f t="shared" ref="I25:I70" si="4">I24+J24</f>
        <v>4660.3337540420152</v>
      </c>
      <c r="J25" s="14">
        <f t="shared" ref="J25:J69" si="5">I25*6%</f>
        <v>279.62002524252091</v>
      </c>
    </row>
    <row r="26" spans="1:13" x14ac:dyDescent="0.2">
      <c r="A26" s="14">
        <f t="shared" si="0"/>
        <v>48505.813924119037</v>
      </c>
      <c r="B26" s="14">
        <f t="shared" si="1"/>
        <v>210.19186033784914</v>
      </c>
      <c r="C26" s="14">
        <f t="shared" si="2"/>
        <v>190.4337106240761</v>
      </c>
      <c r="D26" s="14">
        <f t="shared" si="3"/>
        <v>48315.380213494958</v>
      </c>
      <c r="E26" s="14">
        <v>9</v>
      </c>
      <c r="H26" s="14">
        <v>4</v>
      </c>
      <c r="I26" s="14">
        <f t="shared" si="4"/>
        <v>4939.9537792845358</v>
      </c>
      <c r="J26" s="14">
        <f t="shared" si="5"/>
        <v>296.39722675707213</v>
      </c>
    </row>
    <row r="27" spans="1:13" x14ac:dyDescent="0.2">
      <c r="A27" s="14">
        <f t="shared" si="0"/>
        <v>48315.380213494958</v>
      </c>
      <c r="B27" s="14">
        <f t="shared" si="1"/>
        <v>209.36664759181147</v>
      </c>
      <c r="C27" s="14">
        <f t="shared" si="2"/>
        <v>191.25892337011376</v>
      </c>
      <c r="D27" s="14">
        <f t="shared" si="3"/>
        <v>48124.121290124844</v>
      </c>
      <c r="E27" s="14">
        <v>10</v>
      </c>
      <c r="G27" s="14">
        <f>50000*5.2%</f>
        <v>2600.0000000000005</v>
      </c>
      <c r="H27" s="14">
        <v>5</v>
      </c>
      <c r="I27" s="14">
        <f t="shared" si="4"/>
        <v>5236.3510060416083</v>
      </c>
      <c r="J27" s="14">
        <f t="shared" si="5"/>
        <v>314.18106036249651</v>
      </c>
      <c r="L27" s="17">
        <f>EFFECT(5.5%,10)</f>
        <v>5.6381408437233604E-2</v>
      </c>
    </row>
    <row r="28" spans="1:13" x14ac:dyDescent="0.2">
      <c r="A28" s="14">
        <f t="shared" si="0"/>
        <v>48124.121290124844</v>
      </c>
      <c r="B28" s="14">
        <f t="shared" si="1"/>
        <v>208.5378589238743</v>
      </c>
      <c r="C28" s="14">
        <f t="shared" si="2"/>
        <v>192.08771203805094</v>
      </c>
      <c r="D28" s="14">
        <f t="shared" si="3"/>
        <v>47932.03357808679</v>
      </c>
      <c r="E28" s="14">
        <v>11</v>
      </c>
      <c r="G28" s="14">
        <f>G27/12</f>
        <v>216.66666666666671</v>
      </c>
      <c r="H28" s="14">
        <v>6</v>
      </c>
      <c r="I28" s="14">
        <f t="shared" si="4"/>
        <v>5550.5320664041046</v>
      </c>
      <c r="J28" s="14">
        <f t="shared" si="5"/>
        <v>333.03192398424625</v>
      </c>
      <c r="L28" s="17">
        <f>NOMINAL(8%,5)</f>
        <v>7.7556391987407824E-2</v>
      </c>
    </row>
    <row r="29" spans="1:13" x14ac:dyDescent="0.2">
      <c r="A29" s="14">
        <f t="shared" si="0"/>
        <v>47932.03357808679</v>
      </c>
      <c r="B29" s="14">
        <f t="shared" si="1"/>
        <v>207.70547883837608</v>
      </c>
      <c r="C29" s="14">
        <f t="shared" si="2"/>
        <v>192.92009212354915</v>
      </c>
      <c r="D29" s="14">
        <f t="shared" si="3"/>
        <v>47739.113485963244</v>
      </c>
      <c r="E29" s="14">
        <v>12</v>
      </c>
      <c r="G29" s="14">
        <f>1000-G28</f>
        <v>783.33333333333326</v>
      </c>
      <c r="H29" s="14">
        <v>7</v>
      </c>
      <c r="I29" s="14">
        <f t="shared" si="4"/>
        <v>5883.5639903883512</v>
      </c>
      <c r="J29" s="14">
        <f t="shared" si="5"/>
        <v>353.01383942330108</v>
      </c>
    </row>
    <row r="30" spans="1:13" x14ac:dyDescent="0.2">
      <c r="A30" s="14">
        <f t="shared" si="0"/>
        <v>47739.113485963244</v>
      </c>
      <c r="B30" s="14">
        <f t="shared" si="1"/>
        <v>206.86949177250736</v>
      </c>
      <c r="C30" s="14">
        <f t="shared" si="2"/>
        <v>193.75607918941787</v>
      </c>
      <c r="D30" s="14">
        <f t="shared" si="3"/>
        <v>47545.357406773823</v>
      </c>
      <c r="E30" s="14">
        <v>13</v>
      </c>
      <c r="H30" s="14">
        <v>8</v>
      </c>
      <c r="I30" s="14">
        <f t="shared" si="4"/>
        <v>6236.577829811652</v>
      </c>
      <c r="J30" s="14">
        <f t="shared" si="5"/>
        <v>374.19466978869912</v>
      </c>
    </row>
    <row r="31" spans="1:13" x14ac:dyDescent="0.2">
      <c r="A31" s="14">
        <f t="shared" si="0"/>
        <v>47545.357406773823</v>
      </c>
      <c r="B31" s="14">
        <f t="shared" si="1"/>
        <v>206.02988209601986</v>
      </c>
      <c r="C31" s="14">
        <f t="shared" si="2"/>
        <v>194.59568886590537</v>
      </c>
      <c r="D31" s="14">
        <f t="shared" si="3"/>
        <v>47350.761717907917</v>
      </c>
      <c r="E31" s="14">
        <v>14</v>
      </c>
      <c r="H31" s="14">
        <v>9</v>
      </c>
      <c r="I31" s="14">
        <f t="shared" si="4"/>
        <v>6610.7724996003508</v>
      </c>
      <c r="J31" s="14">
        <f t="shared" si="5"/>
        <v>396.64634997602104</v>
      </c>
    </row>
    <row r="32" spans="1:13" x14ac:dyDescent="0.2">
      <c r="A32" s="14">
        <f t="shared" si="0"/>
        <v>47350.761717907917</v>
      </c>
      <c r="B32" s="14">
        <f t="shared" si="1"/>
        <v>205.18663411093431</v>
      </c>
      <c r="C32" s="14">
        <f t="shared" si="2"/>
        <v>195.43893685099093</v>
      </c>
      <c r="D32" s="14">
        <f t="shared" si="3"/>
        <v>47155.32278105693</v>
      </c>
      <c r="E32" s="14">
        <v>15</v>
      </c>
      <c r="H32" s="14">
        <v>10</v>
      </c>
      <c r="I32" s="14">
        <f t="shared" si="4"/>
        <v>7007.4188495763719</v>
      </c>
      <c r="J32" s="14">
        <f t="shared" si="5"/>
        <v>420.4451309745823</v>
      </c>
      <c r="L32" s="17">
        <f>NOMINAL(5.5%,10)</f>
        <v>5.3684353758116643E-2</v>
      </c>
    </row>
    <row r="33" spans="1:12" x14ac:dyDescent="0.2">
      <c r="A33" s="14">
        <f t="shared" si="0"/>
        <v>47155.32278105693</v>
      </c>
      <c r="B33" s="14">
        <f t="shared" si="1"/>
        <v>204.33973205124667</v>
      </c>
      <c r="C33" s="14">
        <f t="shared" si="2"/>
        <v>196.28583891067856</v>
      </c>
      <c r="D33" s="14">
        <f t="shared" si="3"/>
        <v>46959.036942146253</v>
      </c>
      <c r="E33" s="14">
        <v>16</v>
      </c>
      <c r="G33" s="14">
        <f>PMT(5.2%/12,15*12,-50000)</f>
        <v>400.62557096192529</v>
      </c>
      <c r="H33" s="14">
        <v>11</v>
      </c>
      <c r="I33" s="14">
        <f t="shared" si="4"/>
        <v>7427.8639805509538</v>
      </c>
      <c r="J33" s="14">
        <f t="shared" si="5"/>
        <v>445.67183883305722</v>
      </c>
    </row>
    <row r="34" spans="1:12" x14ac:dyDescent="0.2">
      <c r="A34" s="14">
        <f t="shared" si="0"/>
        <v>46959.036942146253</v>
      </c>
      <c r="B34" s="14">
        <f t="shared" si="1"/>
        <v>203.48916008263373</v>
      </c>
      <c r="C34" s="14">
        <f t="shared" si="2"/>
        <v>197.1364108792915</v>
      </c>
      <c r="D34" s="14">
        <f t="shared" si="3"/>
        <v>46761.900531266961</v>
      </c>
      <c r="E34" s="14">
        <v>17</v>
      </c>
      <c r="G34" s="14">
        <f>G33/12</f>
        <v>33.385464246827105</v>
      </c>
      <c r="H34" s="14">
        <v>12</v>
      </c>
      <c r="I34" s="14">
        <f t="shared" si="4"/>
        <v>7873.5358193840111</v>
      </c>
      <c r="J34" s="14">
        <f t="shared" si="5"/>
        <v>472.41214916304062</v>
      </c>
      <c r="L34" s="14">
        <v>33604</v>
      </c>
    </row>
    <row r="35" spans="1:12" x14ac:dyDescent="0.2">
      <c r="A35" s="14">
        <f t="shared" si="0"/>
        <v>46761.900531266961</v>
      </c>
      <c r="B35" s="14">
        <f t="shared" si="1"/>
        <v>202.6349023021568</v>
      </c>
      <c r="C35" s="14">
        <f t="shared" si="2"/>
        <v>197.99066865976843</v>
      </c>
      <c r="D35" s="14">
        <f t="shared" si="3"/>
        <v>46563.909862607194</v>
      </c>
      <c r="E35" s="14">
        <v>18</v>
      </c>
      <c r="G35" s="14">
        <v>406.87119082813291</v>
      </c>
      <c r="H35" s="14">
        <v>13</v>
      </c>
      <c r="I35" s="14">
        <f t="shared" si="4"/>
        <v>8345.9479685470524</v>
      </c>
      <c r="J35" s="14">
        <f t="shared" si="5"/>
        <v>500.75687811282313</v>
      </c>
      <c r="L35" s="14">
        <v>35431</v>
      </c>
    </row>
    <row r="36" spans="1:12" x14ac:dyDescent="0.2">
      <c r="A36" s="14">
        <f t="shared" si="0"/>
        <v>46563.909862607194</v>
      </c>
      <c r="B36" s="14">
        <f t="shared" si="1"/>
        <v>201.7769427379645</v>
      </c>
      <c r="C36" s="14">
        <f t="shared" si="2"/>
        <v>198.84862822396073</v>
      </c>
      <c r="D36" s="14">
        <f t="shared" si="3"/>
        <v>46365.061234383233</v>
      </c>
      <c r="E36" s="14">
        <v>19</v>
      </c>
      <c r="H36" s="14">
        <v>14</v>
      </c>
      <c r="I36" s="14">
        <f t="shared" si="4"/>
        <v>8846.7048466598753</v>
      </c>
      <c r="J36" s="14">
        <f t="shared" si="5"/>
        <v>530.80229079959247</v>
      </c>
      <c r="L36" s="14">
        <f>PRICE(L34,L35,6.5%,3%,100,1,0)</f>
        <v>116.02897515518089</v>
      </c>
    </row>
    <row r="37" spans="1:12" x14ac:dyDescent="0.2">
      <c r="A37" s="14">
        <f t="shared" si="0"/>
        <v>46365.061234383233</v>
      </c>
      <c r="B37" s="14">
        <f t="shared" si="1"/>
        <v>200.91526534899401</v>
      </c>
      <c r="C37" s="14">
        <f t="shared" si="2"/>
        <v>199.71030561293122</v>
      </c>
      <c r="D37" s="14">
        <f t="shared" si="3"/>
        <v>46165.350928770298</v>
      </c>
      <c r="E37" s="14">
        <v>20</v>
      </c>
      <c r="H37" s="14">
        <v>15</v>
      </c>
      <c r="I37" s="14">
        <f t="shared" si="4"/>
        <v>9377.5071374594681</v>
      </c>
      <c r="J37" s="14">
        <f t="shared" si="5"/>
        <v>562.65042824756802</v>
      </c>
    </row>
    <row r="38" spans="1:12" x14ac:dyDescent="0.2">
      <c r="A38" s="14">
        <f t="shared" si="0"/>
        <v>46165.350928770298</v>
      </c>
      <c r="B38" s="14">
        <f t="shared" si="1"/>
        <v>200.04985402467128</v>
      </c>
      <c r="C38" s="14">
        <f t="shared" si="2"/>
        <v>200.57571693725396</v>
      </c>
      <c r="D38" s="14">
        <f t="shared" si="3"/>
        <v>45964.775211833046</v>
      </c>
      <c r="E38" s="14">
        <v>21</v>
      </c>
      <c r="H38" s="14">
        <v>16</v>
      </c>
      <c r="I38" s="14">
        <f t="shared" si="4"/>
        <v>9940.1575657070352</v>
      </c>
      <c r="J38" s="14">
        <f t="shared" si="5"/>
        <v>596.40945394242215</v>
      </c>
    </row>
    <row r="39" spans="1:12" x14ac:dyDescent="0.2">
      <c r="A39" s="14">
        <f t="shared" si="0"/>
        <v>45964.775211833046</v>
      </c>
      <c r="B39" s="14">
        <f t="shared" si="1"/>
        <v>199.18069258460989</v>
      </c>
      <c r="C39" s="14">
        <f t="shared" si="2"/>
        <v>201.44487837731535</v>
      </c>
      <c r="D39" s="14">
        <f t="shared" si="3"/>
        <v>45763.330333455728</v>
      </c>
      <c r="E39" s="14">
        <v>22</v>
      </c>
      <c r="H39" s="14">
        <v>17</v>
      </c>
      <c r="I39" s="14">
        <f t="shared" si="4"/>
        <v>10536.567019649458</v>
      </c>
      <c r="J39" s="14">
        <f t="shared" si="5"/>
        <v>632.19402117896743</v>
      </c>
    </row>
    <row r="40" spans="1:12" x14ac:dyDescent="0.2">
      <c r="A40" s="14">
        <f t="shared" si="0"/>
        <v>45763.330333455728</v>
      </c>
      <c r="B40" s="14">
        <f t="shared" si="1"/>
        <v>198.30776477830815</v>
      </c>
      <c r="C40" s="14">
        <f t="shared" si="2"/>
        <v>202.31780618361708</v>
      </c>
      <c r="D40" s="14">
        <f t="shared" si="3"/>
        <v>45561.012527272112</v>
      </c>
      <c r="E40" s="14">
        <v>23</v>
      </c>
      <c r="H40" s="14">
        <v>18</v>
      </c>
      <c r="I40" s="14">
        <f t="shared" si="4"/>
        <v>11168.761040828425</v>
      </c>
      <c r="J40" s="14">
        <f t="shared" si="5"/>
        <v>670.12566244970549</v>
      </c>
    </row>
    <row r="41" spans="1:12" x14ac:dyDescent="0.2">
      <c r="A41" s="14">
        <f t="shared" si="0"/>
        <v>45561.012527272112</v>
      </c>
      <c r="B41" s="14">
        <f t="shared" si="1"/>
        <v>197.4310542848458</v>
      </c>
      <c r="C41" s="14">
        <f t="shared" si="2"/>
        <v>203.19451667707943</v>
      </c>
      <c r="D41" s="14">
        <f t="shared" si="3"/>
        <v>45357.818010595031</v>
      </c>
      <c r="E41" s="14">
        <v>24</v>
      </c>
      <c r="H41" s="14">
        <v>19</v>
      </c>
      <c r="I41" s="14">
        <f t="shared" si="4"/>
        <v>11838.886703278131</v>
      </c>
      <c r="J41" s="14">
        <f t="shared" si="5"/>
        <v>710.33320219668781</v>
      </c>
    </row>
    <row r="42" spans="1:12" x14ac:dyDescent="0.2">
      <c r="A42" s="14">
        <f t="shared" si="0"/>
        <v>45357.818010595031</v>
      </c>
      <c r="B42" s="14">
        <f t="shared" si="1"/>
        <v>196.55054471257847</v>
      </c>
      <c r="C42" s="14">
        <f t="shared" si="2"/>
        <v>204.07502624934676</v>
      </c>
      <c r="D42" s="14">
        <f t="shared" si="3"/>
        <v>45153.742984345685</v>
      </c>
      <c r="E42" s="14">
        <v>25</v>
      </c>
      <c r="H42" s="14">
        <v>20</v>
      </c>
      <c r="I42" s="14">
        <f t="shared" si="4"/>
        <v>12549.219905474818</v>
      </c>
      <c r="J42" s="14">
        <f t="shared" si="5"/>
        <v>752.95319432848908</v>
      </c>
    </row>
    <row r="43" spans="1:12" x14ac:dyDescent="0.2">
      <c r="A43" s="14">
        <f t="shared" si="0"/>
        <v>45153.742984345685</v>
      </c>
      <c r="B43" s="14">
        <f t="shared" si="1"/>
        <v>195.66621959883128</v>
      </c>
      <c r="C43" s="14">
        <f t="shared" si="2"/>
        <v>204.95935136309396</v>
      </c>
      <c r="D43" s="14">
        <f t="shared" si="3"/>
        <v>44948.783632982588</v>
      </c>
      <c r="E43" s="14">
        <v>26</v>
      </c>
      <c r="H43" s="14">
        <v>21</v>
      </c>
      <c r="I43" s="14">
        <f t="shared" si="4"/>
        <v>13302.173099803307</v>
      </c>
      <c r="J43" s="14">
        <f t="shared" si="5"/>
        <v>798.13038598819844</v>
      </c>
    </row>
    <row r="44" spans="1:12" x14ac:dyDescent="0.2">
      <c r="A44" s="14">
        <f t="shared" si="0"/>
        <v>44948.783632982588</v>
      </c>
      <c r="B44" s="14">
        <f t="shared" si="1"/>
        <v>194.77806240959123</v>
      </c>
      <c r="C44" s="14">
        <f t="shared" si="2"/>
        <v>205.84750855233401</v>
      </c>
      <c r="D44" s="14">
        <f t="shared" si="3"/>
        <v>44742.936124430256</v>
      </c>
      <c r="E44" s="14">
        <v>27</v>
      </c>
      <c r="H44" s="14">
        <v>22</v>
      </c>
      <c r="I44" s="14">
        <f t="shared" si="4"/>
        <v>14100.303485791506</v>
      </c>
      <c r="J44" s="14">
        <f t="shared" si="5"/>
        <v>846.01820914749032</v>
      </c>
    </row>
    <row r="45" spans="1:12" x14ac:dyDescent="0.2">
      <c r="A45" s="14">
        <f t="shared" si="0"/>
        <v>44742.936124430256</v>
      </c>
      <c r="B45" s="14">
        <f t="shared" si="1"/>
        <v>193.88605653919777</v>
      </c>
      <c r="C45" s="14">
        <f t="shared" si="2"/>
        <v>206.73951442272747</v>
      </c>
      <c r="D45" s="14">
        <f t="shared" si="3"/>
        <v>44536.19661000753</v>
      </c>
      <c r="E45" s="14">
        <v>28</v>
      </c>
      <c r="H45" s="14">
        <v>23</v>
      </c>
      <c r="I45" s="14">
        <f t="shared" si="4"/>
        <v>14946.321694938997</v>
      </c>
      <c r="J45" s="14">
        <f t="shared" si="5"/>
        <v>896.77930169633976</v>
      </c>
    </row>
    <row r="46" spans="1:12" x14ac:dyDescent="0.2">
      <c r="A46" s="14">
        <f t="shared" si="0"/>
        <v>44536.19661000753</v>
      </c>
      <c r="B46" s="14">
        <f t="shared" si="1"/>
        <v>192.99018531003262</v>
      </c>
      <c r="C46" s="14">
        <f t="shared" si="2"/>
        <v>207.63538565189262</v>
      </c>
      <c r="D46" s="14">
        <f t="shared" si="3"/>
        <v>44328.561224355639</v>
      </c>
      <c r="E46" s="14">
        <v>29</v>
      </c>
      <c r="H46" s="14">
        <v>24</v>
      </c>
      <c r="I46" s="14">
        <f t="shared" si="4"/>
        <v>15843.100996635338</v>
      </c>
      <c r="J46" s="14">
        <f t="shared" si="5"/>
        <v>950.58605979812023</v>
      </c>
    </row>
    <row r="47" spans="1:12" x14ac:dyDescent="0.2">
      <c r="A47" s="14">
        <f t="shared" si="0"/>
        <v>44328.561224355639</v>
      </c>
      <c r="B47" s="14">
        <f t="shared" si="1"/>
        <v>192.09043197220777</v>
      </c>
      <c r="C47" s="14">
        <f t="shared" si="2"/>
        <v>208.53513898971747</v>
      </c>
      <c r="D47" s="14">
        <f t="shared" si="3"/>
        <v>44120.02608536592</v>
      </c>
      <c r="E47" s="14">
        <v>30</v>
      </c>
      <c r="H47" s="14">
        <v>25</v>
      </c>
      <c r="I47" s="14">
        <f t="shared" si="4"/>
        <v>16793.687056433457</v>
      </c>
      <c r="J47" s="14">
        <f t="shared" si="5"/>
        <v>1007.6212233860074</v>
      </c>
    </row>
    <row r="48" spans="1:12" x14ac:dyDescent="0.2">
      <c r="A48" s="14">
        <f t="shared" si="0"/>
        <v>44120.02608536592</v>
      </c>
      <c r="B48" s="14">
        <f t="shared" si="1"/>
        <v>191.18677970325231</v>
      </c>
      <c r="C48" s="14">
        <f t="shared" si="2"/>
        <v>209.43879125867292</v>
      </c>
      <c r="D48" s="14">
        <f t="shared" si="3"/>
        <v>43910.587294107245</v>
      </c>
      <c r="E48" s="14">
        <v>31</v>
      </c>
      <c r="H48" s="14">
        <v>26</v>
      </c>
      <c r="I48" s="14">
        <f t="shared" si="4"/>
        <v>17801.308279819463</v>
      </c>
      <c r="J48" s="14">
        <f t="shared" si="5"/>
        <v>1068.0784967891677</v>
      </c>
    </row>
    <row r="49" spans="1:10" x14ac:dyDescent="0.2">
      <c r="A49" s="14">
        <f t="shared" si="0"/>
        <v>43910.587294107245</v>
      </c>
      <c r="B49" s="14">
        <f t="shared" si="1"/>
        <v>190.27921160779806</v>
      </c>
      <c r="C49" s="14">
        <f t="shared" si="2"/>
        <v>210.34635935412717</v>
      </c>
      <c r="D49" s="14">
        <f t="shared" si="3"/>
        <v>43700.240934753121</v>
      </c>
      <c r="E49" s="14">
        <v>32</v>
      </c>
      <c r="H49" s="14">
        <v>27</v>
      </c>
      <c r="I49" s="14">
        <f t="shared" si="4"/>
        <v>18869.38677660863</v>
      </c>
      <c r="J49" s="14">
        <f t="shared" si="5"/>
        <v>1132.1632065965177</v>
      </c>
    </row>
    <row r="50" spans="1:10" x14ac:dyDescent="0.2">
      <c r="A50" s="14">
        <f t="shared" si="0"/>
        <v>43700.240934753121</v>
      </c>
      <c r="B50" s="14">
        <f t="shared" si="1"/>
        <v>189.36771071726352</v>
      </c>
      <c r="C50" s="14">
        <f t="shared" si="2"/>
        <v>211.25786024466171</v>
      </c>
      <c r="D50" s="14">
        <f t="shared" si="3"/>
        <v>43488.983074508462</v>
      </c>
      <c r="E50" s="14">
        <v>33</v>
      </c>
      <c r="H50" s="14">
        <v>28</v>
      </c>
      <c r="I50" s="14">
        <f t="shared" si="4"/>
        <v>20001.549983205146</v>
      </c>
      <c r="J50" s="14">
        <f t="shared" si="5"/>
        <v>1200.0929989923088</v>
      </c>
    </row>
    <row r="51" spans="1:10" x14ac:dyDescent="0.2">
      <c r="A51" s="14">
        <f t="shared" si="0"/>
        <v>43488.983074508462</v>
      </c>
      <c r="B51" s="14">
        <f t="shared" si="1"/>
        <v>188.45225998953666</v>
      </c>
      <c r="C51" s="14">
        <f t="shared" si="2"/>
        <v>212.17331097238858</v>
      </c>
      <c r="D51" s="14">
        <f t="shared" si="3"/>
        <v>43276.809763536075</v>
      </c>
      <c r="E51" s="14">
        <v>34</v>
      </c>
      <c r="H51" s="14">
        <v>29</v>
      </c>
      <c r="I51" s="14">
        <f t="shared" si="4"/>
        <v>21201.642982197456</v>
      </c>
      <c r="J51" s="14">
        <f t="shared" si="5"/>
        <v>1272.0985789318472</v>
      </c>
    </row>
    <row r="52" spans="1:10" x14ac:dyDescent="0.2">
      <c r="A52" s="14">
        <f t="shared" si="0"/>
        <v>43276.809763536075</v>
      </c>
      <c r="B52" s="14">
        <f t="shared" si="1"/>
        <v>187.53284230865631</v>
      </c>
      <c r="C52" s="14">
        <f t="shared" si="2"/>
        <v>213.09272865326892</v>
      </c>
      <c r="D52" s="14">
        <f t="shared" si="3"/>
        <v>43063.717034882808</v>
      </c>
      <c r="E52" s="14">
        <v>35</v>
      </c>
      <c r="H52" s="14">
        <v>30</v>
      </c>
      <c r="I52" s="14">
        <f t="shared" si="4"/>
        <v>22473.741561129304</v>
      </c>
      <c r="J52" s="14">
        <f t="shared" si="5"/>
        <v>1348.4244936677583</v>
      </c>
    </row>
    <row r="53" spans="1:10" x14ac:dyDescent="0.2">
      <c r="A53" s="14">
        <f t="shared" si="0"/>
        <v>43063.717034882808</v>
      </c>
      <c r="B53" s="14">
        <f t="shared" si="1"/>
        <v>186.60944048449218</v>
      </c>
      <c r="C53" s="14">
        <f t="shared" si="2"/>
        <v>214.01613047743305</v>
      </c>
      <c r="D53" s="14">
        <f t="shared" si="3"/>
        <v>42849.700904405378</v>
      </c>
      <c r="E53" s="14">
        <v>36</v>
      </c>
      <c r="H53" s="14">
        <v>31</v>
      </c>
      <c r="I53" s="14">
        <f t="shared" si="4"/>
        <v>23822.16605479706</v>
      </c>
      <c r="J53" s="14">
        <f t="shared" si="5"/>
        <v>1429.3299632878236</v>
      </c>
    </row>
    <row r="54" spans="1:10" x14ac:dyDescent="0.2">
      <c r="A54" s="14">
        <f t="shared" si="0"/>
        <v>42849.700904405378</v>
      </c>
      <c r="B54" s="14">
        <f t="shared" si="1"/>
        <v>185.68203725242327</v>
      </c>
      <c r="C54" s="14">
        <f t="shared" si="2"/>
        <v>214.94353370950196</v>
      </c>
      <c r="D54" s="14">
        <f t="shared" si="3"/>
        <v>42634.757370695872</v>
      </c>
      <c r="E54" s="14">
        <v>37</v>
      </c>
      <c r="H54" s="14">
        <v>32</v>
      </c>
      <c r="I54" s="14">
        <f t="shared" si="4"/>
        <v>25251.496018084883</v>
      </c>
      <c r="J54" s="14">
        <f t="shared" si="5"/>
        <v>1515.089761085093</v>
      </c>
    </row>
    <row r="55" spans="1:10" x14ac:dyDescent="0.2">
      <c r="A55" s="14">
        <f t="shared" si="0"/>
        <v>42634.757370695872</v>
      </c>
      <c r="B55" s="14">
        <f t="shared" si="1"/>
        <v>184.75061527301546</v>
      </c>
      <c r="C55" s="14">
        <f t="shared" si="2"/>
        <v>215.87495568890978</v>
      </c>
      <c r="D55" s="14">
        <f t="shared" si="3"/>
        <v>42418.882415006963</v>
      </c>
      <c r="E55" s="14">
        <v>38</v>
      </c>
      <c r="H55" s="14">
        <v>33</v>
      </c>
      <c r="I55" s="14">
        <f t="shared" si="4"/>
        <v>26766.585779169975</v>
      </c>
      <c r="J55" s="14">
        <f t="shared" si="5"/>
        <v>1605.9951467501985</v>
      </c>
    </row>
    <row r="56" spans="1:10" x14ac:dyDescent="0.2">
      <c r="A56" s="14">
        <f t="shared" si="0"/>
        <v>42418.882415006963</v>
      </c>
      <c r="B56" s="14">
        <f t="shared" si="1"/>
        <v>183.81515713169685</v>
      </c>
      <c r="C56" s="14">
        <f t="shared" si="2"/>
        <v>216.81041383022838</v>
      </c>
      <c r="D56" s="14">
        <f t="shared" si="3"/>
        <v>42202.072001176733</v>
      </c>
      <c r="E56" s="14">
        <v>39</v>
      </c>
      <c r="H56" s="14">
        <v>34</v>
      </c>
      <c r="I56" s="14">
        <f t="shared" si="4"/>
        <v>28372.580925920174</v>
      </c>
      <c r="J56" s="14">
        <f t="shared" si="5"/>
        <v>1702.3548555552104</v>
      </c>
    </row>
    <row r="57" spans="1:10" x14ac:dyDescent="0.2">
      <c r="A57" s="14">
        <f t="shared" si="0"/>
        <v>42202.072001176733</v>
      </c>
      <c r="B57" s="14">
        <f t="shared" si="1"/>
        <v>182.87564533843249</v>
      </c>
      <c r="C57" s="14">
        <f t="shared" si="2"/>
        <v>217.74992562349274</v>
      </c>
      <c r="D57" s="14">
        <f t="shared" si="3"/>
        <v>41984.322075553238</v>
      </c>
      <c r="E57" s="14">
        <v>40</v>
      </c>
      <c r="H57" s="14">
        <v>35</v>
      </c>
      <c r="I57" s="14">
        <f t="shared" si="4"/>
        <v>30074.935781475386</v>
      </c>
      <c r="J57" s="14">
        <f t="shared" si="5"/>
        <v>1804.4961468885231</v>
      </c>
    </row>
    <row r="58" spans="1:10" x14ac:dyDescent="0.2">
      <c r="A58" s="14">
        <f t="shared" si="0"/>
        <v>41984.322075553238</v>
      </c>
      <c r="B58" s="14">
        <f t="shared" si="1"/>
        <v>181.93206232739738</v>
      </c>
      <c r="C58" s="14">
        <f t="shared" si="2"/>
        <v>218.69350863452786</v>
      </c>
      <c r="D58" s="14">
        <f t="shared" si="3"/>
        <v>41765.628566918713</v>
      </c>
      <c r="E58" s="14">
        <v>41</v>
      </c>
      <c r="H58" s="14">
        <v>36</v>
      </c>
      <c r="I58" s="14">
        <f t="shared" si="4"/>
        <v>31879.431928363909</v>
      </c>
      <c r="J58" s="14">
        <f t="shared" si="5"/>
        <v>1912.7659157018345</v>
      </c>
    </row>
    <row r="59" spans="1:10" x14ac:dyDescent="0.2">
      <c r="A59" s="14">
        <f t="shared" si="0"/>
        <v>41765.628566918713</v>
      </c>
      <c r="B59" s="14">
        <f t="shared" si="1"/>
        <v>180.98439045664773</v>
      </c>
      <c r="C59" s="14">
        <f t="shared" si="2"/>
        <v>219.6411805052775</v>
      </c>
      <c r="D59" s="14">
        <f t="shared" si="3"/>
        <v>41545.987386413435</v>
      </c>
      <c r="E59" s="14">
        <v>42</v>
      </c>
      <c r="H59" s="14">
        <v>37</v>
      </c>
      <c r="I59" s="14">
        <f t="shared" si="4"/>
        <v>33792.19784406574</v>
      </c>
      <c r="J59" s="14">
        <f t="shared" si="5"/>
        <v>2027.5318706439443</v>
      </c>
    </row>
    <row r="60" spans="1:10" x14ac:dyDescent="0.2">
      <c r="A60" s="14">
        <f t="shared" si="0"/>
        <v>41545.987386413435</v>
      </c>
      <c r="B60" s="14">
        <f t="shared" si="1"/>
        <v>180.03261200779153</v>
      </c>
      <c r="C60" s="14">
        <f t="shared" si="2"/>
        <v>220.59295895413371</v>
      </c>
      <c r="D60" s="14">
        <f t="shared" si="3"/>
        <v>41325.394427459301</v>
      </c>
      <c r="E60" s="14">
        <v>43</v>
      </c>
      <c r="H60" s="14">
        <v>38</v>
      </c>
      <c r="I60" s="14">
        <f t="shared" si="4"/>
        <v>35819.729714709683</v>
      </c>
      <c r="J60" s="14">
        <f t="shared" si="5"/>
        <v>2149.183782882581</v>
      </c>
    </row>
    <row r="61" spans="1:10" x14ac:dyDescent="0.2">
      <c r="A61" s="14">
        <f t="shared" si="0"/>
        <v>41325.394427459301</v>
      </c>
      <c r="B61" s="14">
        <f t="shared" si="1"/>
        <v>179.07670918565694</v>
      </c>
      <c r="C61" s="14">
        <f t="shared" si="2"/>
        <v>221.5488617762683</v>
      </c>
      <c r="D61" s="14">
        <f t="shared" si="3"/>
        <v>41103.845565683034</v>
      </c>
      <c r="E61" s="14">
        <v>44</v>
      </c>
      <c r="H61" s="14">
        <v>39</v>
      </c>
      <c r="I61" s="14">
        <f t="shared" si="4"/>
        <v>37968.913497592264</v>
      </c>
      <c r="J61" s="14">
        <f t="shared" si="5"/>
        <v>2278.1348098555359</v>
      </c>
    </row>
    <row r="62" spans="1:10" x14ac:dyDescent="0.2">
      <c r="A62" s="14">
        <f t="shared" si="0"/>
        <v>41103.845565683034</v>
      </c>
      <c r="B62" s="14">
        <f t="shared" si="1"/>
        <v>178.1166641179598</v>
      </c>
      <c r="C62" s="14">
        <f t="shared" si="2"/>
        <v>222.50890684396543</v>
      </c>
      <c r="D62" s="14">
        <f t="shared" si="3"/>
        <v>40881.336658839071</v>
      </c>
      <c r="E62" s="14">
        <v>45</v>
      </c>
      <c r="H62" s="14">
        <v>40</v>
      </c>
      <c r="I62" s="14">
        <f t="shared" si="4"/>
        <v>40247.048307447803</v>
      </c>
      <c r="J62" s="14">
        <f t="shared" si="5"/>
        <v>2414.8228984468683</v>
      </c>
    </row>
    <row r="63" spans="1:10" x14ac:dyDescent="0.2">
      <c r="A63" s="14">
        <f t="shared" si="0"/>
        <v>40881.336658839071</v>
      </c>
      <c r="B63" s="14">
        <f t="shared" si="1"/>
        <v>177.1524588549693</v>
      </c>
      <c r="C63" s="14">
        <f t="shared" si="2"/>
        <v>223.47311210695594</v>
      </c>
      <c r="D63" s="14">
        <f t="shared" si="3"/>
        <v>40657.863546732115</v>
      </c>
      <c r="E63" s="14">
        <v>46</v>
      </c>
      <c r="H63" s="14">
        <v>41</v>
      </c>
      <c r="I63" s="14">
        <f t="shared" si="4"/>
        <v>42661.871205894669</v>
      </c>
      <c r="J63" s="14">
        <f t="shared" si="5"/>
        <v>2559.71227235368</v>
      </c>
    </row>
    <row r="64" spans="1:10" x14ac:dyDescent="0.2">
      <c r="A64" s="14">
        <f t="shared" si="0"/>
        <v>40657.863546732115</v>
      </c>
      <c r="B64" s="14">
        <f t="shared" si="1"/>
        <v>176.18407536917246</v>
      </c>
      <c r="C64" s="14">
        <f t="shared" si="2"/>
        <v>224.44149559275277</v>
      </c>
      <c r="D64" s="14">
        <f t="shared" si="3"/>
        <v>40433.422051139365</v>
      </c>
      <c r="E64" s="14">
        <v>47</v>
      </c>
      <c r="H64" s="14">
        <v>42</v>
      </c>
      <c r="I64" s="14">
        <f t="shared" si="4"/>
        <v>45221.583478248351</v>
      </c>
      <c r="J64" s="14">
        <f t="shared" si="5"/>
        <v>2713.2950086949008</v>
      </c>
    </row>
    <row r="65" spans="1:13" x14ac:dyDescent="0.2">
      <c r="A65" s="14">
        <f t="shared" si="0"/>
        <v>40433.422051139365</v>
      </c>
      <c r="B65" s="14">
        <f t="shared" si="1"/>
        <v>175.21149555493722</v>
      </c>
      <c r="C65" s="14">
        <f t="shared" si="2"/>
        <v>225.41407540698802</v>
      </c>
      <c r="D65" s="14">
        <f t="shared" si="3"/>
        <v>40208.007975732377</v>
      </c>
      <c r="E65" s="14">
        <v>48</v>
      </c>
      <c r="H65" s="14">
        <v>43</v>
      </c>
      <c r="I65" s="14">
        <f t="shared" si="4"/>
        <v>47934.878486943249</v>
      </c>
      <c r="J65" s="14">
        <f t="shared" si="5"/>
        <v>2876.0927092165948</v>
      </c>
    </row>
    <row r="66" spans="1:13" x14ac:dyDescent="0.2">
      <c r="A66" s="14">
        <f t="shared" si="0"/>
        <v>40208.007975732377</v>
      </c>
      <c r="B66" s="14">
        <f t="shared" si="1"/>
        <v>174.23470122817363</v>
      </c>
      <c r="C66" s="14">
        <f t="shared" si="2"/>
        <v>226.3908697337516</v>
      </c>
      <c r="D66" s="14">
        <f t="shared" si="3"/>
        <v>39981.617105998623</v>
      </c>
      <c r="E66" s="14">
        <v>49</v>
      </c>
      <c r="H66" s="14">
        <v>44</v>
      </c>
      <c r="I66" s="14">
        <f t="shared" si="4"/>
        <v>50810.971196159844</v>
      </c>
      <c r="J66" s="14">
        <f t="shared" si="5"/>
        <v>3048.6582717695906</v>
      </c>
    </row>
    <row r="67" spans="1:13" x14ac:dyDescent="0.2">
      <c r="A67" s="14">
        <f t="shared" si="0"/>
        <v>39981.617105998623</v>
      </c>
      <c r="B67" s="14">
        <f t="shared" si="1"/>
        <v>173.25367412599402</v>
      </c>
      <c r="C67" s="14">
        <f t="shared" si="2"/>
        <v>227.37189683593121</v>
      </c>
      <c r="D67" s="14">
        <f t="shared" si="3"/>
        <v>39754.245209162691</v>
      </c>
      <c r="E67" s="14">
        <v>50</v>
      </c>
      <c r="H67" s="14">
        <v>45</v>
      </c>
      <c r="I67" s="14">
        <f t="shared" si="4"/>
        <v>53859.629467929437</v>
      </c>
      <c r="J67" s="14">
        <f t="shared" si="5"/>
        <v>3231.577768075766</v>
      </c>
    </row>
    <row r="68" spans="1:13" x14ac:dyDescent="0.2">
      <c r="A68" s="14">
        <f t="shared" si="0"/>
        <v>39754.245209162691</v>
      </c>
      <c r="B68" s="14">
        <f t="shared" si="1"/>
        <v>172.26839590637167</v>
      </c>
      <c r="C68" s="14">
        <f t="shared" si="2"/>
        <v>228.35717505555357</v>
      </c>
      <c r="D68" s="14">
        <f t="shared" si="3"/>
        <v>39525.888034107134</v>
      </c>
      <c r="E68" s="14">
        <v>51</v>
      </c>
      <c r="H68" s="14">
        <v>46</v>
      </c>
      <c r="I68" s="14">
        <f t="shared" si="4"/>
        <v>57091.207236005204</v>
      </c>
      <c r="J68" s="14">
        <f t="shared" si="5"/>
        <v>3425.4724341603123</v>
      </c>
    </row>
    <row r="69" spans="1:13" x14ac:dyDescent="0.2">
      <c r="A69" s="14">
        <f t="shared" si="0"/>
        <v>39525.888034107134</v>
      </c>
      <c r="B69" s="14">
        <f t="shared" si="1"/>
        <v>171.27884814779759</v>
      </c>
      <c r="C69" s="14">
        <f t="shared" si="2"/>
        <v>229.34672281412765</v>
      </c>
      <c r="D69" s="14">
        <f t="shared" si="3"/>
        <v>39296.541311293004</v>
      </c>
      <c r="E69" s="14">
        <v>52</v>
      </c>
      <c r="H69" s="14">
        <v>47</v>
      </c>
      <c r="I69" s="14">
        <f t="shared" si="4"/>
        <v>60516.679670165518</v>
      </c>
      <c r="J69" s="14">
        <f t="shared" si="5"/>
        <v>3631.0007802099308</v>
      </c>
    </row>
    <row r="70" spans="1:13" x14ac:dyDescent="0.2">
      <c r="A70" s="14">
        <f t="shared" si="0"/>
        <v>39296.541311293004</v>
      </c>
      <c r="B70" s="14">
        <f t="shared" si="1"/>
        <v>170.28501234893633</v>
      </c>
      <c r="C70" s="14">
        <f t="shared" si="2"/>
        <v>230.3405586129889</v>
      </c>
      <c r="D70" s="14">
        <f t="shared" si="3"/>
        <v>39066.200752680015</v>
      </c>
      <c r="E70" s="14">
        <v>53</v>
      </c>
      <c r="I70" s="14">
        <f t="shared" si="4"/>
        <v>64147.680450375447</v>
      </c>
    </row>
    <row r="71" spans="1:13" x14ac:dyDescent="0.2">
      <c r="A71" s="14">
        <f t="shared" si="0"/>
        <v>39066.200752680015</v>
      </c>
      <c r="B71" s="14">
        <f t="shared" si="1"/>
        <v>169.28686992828005</v>
      </c>
      <c r="C71" s="14">
        <f t="shared" si="2"/>
        <v>231.33870103364518</v>
      </c>
      <c r="D71" s="14">
        <f t="shared" si="3"/>
        <v>38834.862051646371</v>
      </c>
      <c r="E71" s="14">
        <v>54</v>
      </c>
    </row>
    <row r="72" spans="1:13" x14ac:dyDescent="0.2">
      <c r="A72" s="14">
        <f t="shared" si="0"/>
        <v>38834.862051646371</v>
      </c>
      <c r="B72" s="14">
        <f t="shared" si="1"/>
        <v>168.28440222380092</v>
      </c>
      <c r="C72" s="14">
        <f t="shared" si="2"/>
        <v>232.34116873812431</v>
      </c>
      <c r="D72" s="14">
        <f t="shared" si="3"/>
        <v>38602.520882908248</v>
      </c>
      <c r="E72" s="14">
        <v>55</v>
      </c>
    </row>
    <row r="73" spans="1:13" x14ac:dyDescent="0.2">
      <c r="A73" s="14">
        <f t="shared" si="0"/>
        <v>38602.520882908248</v>
      </c>
      <c r="B73" s="14">
        <f t="shared" si="1"/>
        <v>167.2775904926024</v>
      </c>
      <c r="C73" s="14">
        <f t="shared" si="2"/>
        <v>233.34798046932283</v>
      </c>
      <c r="D73" s="14">
        <f t="shared" si="3"/>
        <v>38369.172902438928</v>
      </c>
      <c r="E73" s="14">
        <v>56</v>
      </c>
    </row>
    <row r="74" spans="1:13" x14ac:dyDescent="0.2">
      <c r="A74" s="14">
        <f t="shared" si="0"/>
        <v>38369.172902438928</v>
      </c>
      <c r="B74" s="14">
        <f t="shared" si="1"/>
        <v>166.26641591056867</v>
      </c>
      <c r="C74" s="14">
        <f t="shared" si="2"/>
        <v>234.35915505135657</v>
      </c>
      <c r="D74" s="14">
        <f t="shared" si="3"/>
        <v>38134.813747387569</v>
      </c>
      <c r="E74" s="14">
        <v>57</v>
      </c>
      <c r="I74" s="14">
        <f>100*((1.1)^5-1)/(1.1-1)</f>
        <v>610.51</v>
      </c>
      <c r="K74" s="14">
        <f>100*((1.1)^5-1)/(1.1-1)</f>
        <v>610.51</v>
      </c>
      <c r="M74" s="14">
        <f>PMT(6%,47,0,-1000000)</f>
        <v>4147.6804503756111</v>
      </c>
    </row>
    <row r="75" spans="1:13" x14ac:dyDescent="0.2">
      <c r="A75" s="14">
        <f t="shared" si="0"/>
        <v>38134.813747387569</v>
      </c>
      <c r="B75" s="14">
        <f t="shared" si="1"/>
        <v>165.25085957201279</v>
      </c>
      <c r="C75" s="14">
        <f t="shared" si="2"/>
        <v>235.37471138991245</v>
      </c>
      <c r="D75" s="14">
        <f t="shared" si="3"/>
        <v>37899.439035997653</v>
      </c>
      <c r="E75" s="14">
        <v>58</v>
      </c>
      <c r="I75" s="14">
        <f>FV(10%,5,-100)</f>
        <v>610.51000000000056</v>
      </c>
      <c r="K75" s="14">
        <f>FV(10%,5,-100)</f>
        <v>610.51000000000056</v>
      </c>
    </row>
    <row r="76" spans="1:13" x14ac:dyDescent="0.2">
      <c r="A76" s="14">
        <f t="shared" si="0"/>
        <v>37899.439035997653</v>
      </c>
      <c r="B76" s="14">
        <f t="shared" si="1"/>
        <v>164.23090248932314</v>
      </c>
      <c r="C76" s="14">
        <f t="shared" si="2"/>
        <v>236.39466847260209</v>
      </c>
      <c r="D76" s="14">
        <f t="shared" si="3"/>
        <v>37663.04436752505</v>
      </c>
      <c r="E76" s="14">
        <v>59</v>
      </c>
    </row>
    <row r="77" spans="1:13" x14ac:dyDescent="0.2">
      <c r="A77" s="14">
        <f t="shared" si="0"/>
        <v>37663.04436752505</v>
      </c>
      <c r="B77" s="14">
        <f t="shared" si="1"/>
        <v>163.20652559260853</v>
      </c>
      <c r="C77" s="14">
        <f t="shared" si="2"/>
        <v>237.41904536931671</v>
      </c>
      <c r="D77" s="14">
        <f t="shared" si="3"/>
        <v>37425.625322155734</v>
      </c>
      <c r="E77" s="14">
        <v>60</v>
      </c>
    </row>
    <row r="81" spans="1:2" x14ac:dyDescent="0.2">
      <c r="A81" s="14">
        <v>-70000</v>
      </c>
    </row>
    <row r="82" spans="1:2" x14ac:dyDescent="0.2">
      <c r="A82" s="14">
        <v>12000</v>
      </c>
    </row>
    <row r="83" spans="1:2" x14ac:dyDescent="0.2">
      <c r="A83" s="14">
        <v>15000</v>
      </c>
    </row>
    <row r="84" spans="1:2" x14ac:dyDescent="0.2">
      <c r="A84" s="14">
        <v>18000</v>
      </c>
    </row>
    <row r="85" spans="1:2" x14ac:dyDescent="0.2">
      <c r="A85" s="14">
        <v>21000</v>
      </c>
      <c r="B85" s="14">
        <f>IRR(A81:A85)</f>
        <v>-2.1244848273410888E-2</v>
      </c>
    </row>
    <row r="86" spans="1:2" x14ac:dyDescent="0.2">
      <c r="A86" s="14">
        <v>26000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C91"/>
  <sheetViews>
    <sheetView workbookViewId="0"/>
  </sheetViews>
  <sheetFormatPr baseColWidth="10" defaultRowHeight="12.75" x14ac:dyDescent="0.2"/>
  <sheetData>
    <row r="1" spans="1:3" x14ac:dyDescent="0.2">
      <c r="A1" t="s">
        <v>7</v>
      </c>
      <c r="B1" t="s">
        <v>8</v>
      </c>
      <c r="C1" s="1">
        <v>0.01</v>
      </c>
    </row>
    <row r="2" spans="1:3" x14ac:dyDescent="0.2">
      <c r="A2">
        <v>10000</v>
      </c>
      <c r="B2">
        <f>A2-A2*$C$1</f>
        <v>9900</v>
      </c>
    </row>
    <row r="3" spans="1:3" x14ac:dyDescent="0.2">
      <c r="A3">
        <f>B2</f>
        <v>9900</v>
      </c>
      <c r="B3">
        <f>A3-A3*$C$1</f>
        <v>9801</v>
      </c>
    </row>
    <row r="4" spans="1:3" x14ac:dyDescent="0.2">
      <c r="A4">
        <f t="shared" ref="A4:A67" si="0">B3</f>
        <v>9801</v>
      </c>
      <c r="B4">
        <f t="shared" ref="B4:B67" si="1">A4-A4*$C$1</f>
        <v>9702.99</v>
      </c>
    </row>
    <row r="5" spans="1:3" x14ac:dyDescent="0.2">
      <c r="A5">
        <f t="shared" si="0"/>
        <v>9702.99</v>
      </c>
      <c r="B5">
        <f t="shared" si="1"/>
        <v>9605.9601000000002</v>
      </c>
    </row>
    <row r="6" spans="1:3" x14ac:dyDescent="0.2">
      <c r="A6">
        <f t="shared" si="0"/>
        <v>9605.9601000000002</v>
      </c>
      <c r="B6">
        <f t="shared" si="1"/>
        <v>9509.9004989999994</v>
      </c>
    </row>
    <row r="7" spans="1:3" x14ac:dyDescent="0.2">
      <c r="A7">
        <f t="shared" si="0"/>
        <v>9509.9004989999994</v>
      </c>
      <c r="B7">
        <f t="shared" si="1"/>
        <v>9414.8014940100002</v>
      </c>
    </row>
    <row r="8" spans="1:3" x14ac:dyDescent="0.2">
      <c r="A8">
        <f t="shared" si="0"/>
        <v>9414.8014940100002</v>
      </c>
      <c r="B8">
        <f t="shared" si="1"/>
        <v>9320.6534790699006</v>
      </c>
    </row>
    <row r="9" spans="1:3" x14ac:dyDescent="0.2">
      <c r="A9">
        <f t="shared" si="0"/>
        <v>9320.6534790699006</v>
      </c>
      <c r="B9">
        <f t="shared" si="1"/>
        <v>9227.4469442792015</v>
      </c>
    </row>
    <row r="10" spans="1:3" x14ac:dyDescent="0.2">
      <c r="A10">
        <f t="shared" si="0"/>
        <v>9227.4469442792015</v>
      </c>
      <c r="B10">
        <f t="shared" si="1"/>
        <v>9135.1724748364086</v>
      </c>
    </row>
    <row r="11" spans="1:3" x14ac:dyDescent="0.2">
      <c r="A11">
        <f t="shared" si="0"/>
        <v>9135.1724748364086</v>
      </c>
      <c r="B11">
        <f t="shared" si="1"/>
        <v>9043.8207500880453</v>
      </c>
    </row>
    <row r="12" spans="1:3" x14ac:dyDescent="0.2">
      <c r="A12">
        <f t="shared" si="0"/>
        <v>9043.8207500880453</v>
      </c>
      <c r="B12">
        <f t="shared" si="1"/>
        <v>8953.3825425871655</v>
      </c>
    </row>
    <row r="13" spans="1:3" x14ac:dyDescent="0.2">
      <c r="A13">
        <f t="shared" si="0"/>
        <v>8953.3825425871655</v>
      </c>
      <c r="B13">
        <f t="shared" si="1"/>
        <v>8863.8487171612942</v>
      </c>
    </row>
    <row r="14" spans="1:3" x14ac:dyDescent="0.2">
      <c r="A14">
        <f t="shared" si="0"/>
        <v>8863.8487171612942</v>
      </c>
      <c r="B14">
        <f t="shared" si="1"/>
        <v>8775.2102299896815</v>
      </c>
    </row>
    <row r="15" spans="1:3" x14ac:dyDescent="0.2">
      <c r="A15">
        <f t="shared" si="0"/>
        <v>8775.2102299896815</v>
      </c>
      <c r="B15">
        <f t="shared" si="1"/>
        <v>8687.4581276897843</v>
      </c>
    </row>
    <row r="16" spans="1:3" x14ac:dyDescent="0.2">
      <c r="A16">
        <f t="shared" si="0"/>
        <v>8687.4581276897843</v>
      </c>
      <c r="B16">
        <f t="shared" si="1"/>
        <v>8600.5835464128868</v>
      </c>
    </row>
    <row r="17" spans="1:2" x14ac:dyDescent="0.2">
      <c r="A17">
        <f t="shared" si="0"/>
        <v>8600.5835464128868</v>
      </c>
      <c r="B17">
        <f t="shared" si="1"/>
        <v>8514.5777109487572</v>
      </c>
    </row>
    <row r="18" spans="1:2" x14ac:dyDescent="0.2">
      <c r="A18">
        <f t="shared" si="0"/>
        <v>8514.5777109487572</v>
      </c>
      <c r="B18">
        <f t="shared" si="1"/>
        <v>8429.4319338392688</v>
      </c>
    </row>
    <row r="19" spans="1:2" x14ac:dyDescent="0.2">
      <c r="A19">
        <f t="shared" si="0"/>
        <v>8429.4319338392688</v>
      </c>
      <c r="B19">
        <f t="shared" si="1"/>
        <v>8345.1376145008762</v>
      </c>
    </row>
    <row r="20" spans="1:2" x14ac:dyDescent="0.2">
      <c r="A20">
        <f t="shared" si="0"/>
        <v>8345.1376145008762</v>
      </c>
      <c r="B20">
        <f t="shared" si="1"/>
        <v>8261.6862383558673</v>
      </c>
    </row>
    <row r="21" spans="1:2" x14ac:dyDescent="0.2">
      <c r="A21">
        <f t="shared" si="0"/>
        <v>8261.6862383558673</v>
      </c>
      <c r="B21">
        <f t="shared" si="1"/>
        <v>8179.069375972309</v>
      </c>
    </row>
    <row r="22" spans="1:2" x14ac:dyDescent="0.2">
      <c r="A22">
        <f t="shared" si="0"/>
        <v>8179.069375972309</v>
      </c>
      <c r="B22">
        <f t="shared" si="1"/>
        <v>8097.2786822125863</v>
      </c>
    </row>
    <row r="23" spans="1:2" x14ac:dyDescent="0.2">
      <c r="A23">
        <f t="shared" si="0"/>
        <v>8097.2786822125863</v>
      </c>
      <c r="B23">
        <f t="shared" si="1"/>
        <v>8016.3058953904601</v>
      </c>
    </row>
    <row r="24" spans="1:2" x14ac:dyDescent="0.2">
      <c r="A24">
        <f t="shared" si="0"/>
        <v>8016.3058953904601</v>
      </c>
      <c r="B24">
        <f t="shared" si="1"/>
        <v>7936.1428364365556</v>
      </c>
    </row>
    <row r="25" spans="1:2" x14ac:dyDescent="0.2">
      <c r="A25">
        <f t="shared" si="0"/>
        <v>7936.1428364365556</v>
      </c>
      <c r="B25">
        <f t="shared" si="1"/>
        <v>7856.7814080721901</v>
      </c>
    </row>
    <row r="26" spans="1:2" x14ac:dyDescent="0.2">
      <c r="A26">
        <f t="shared" si="0"/>
        <v>7856.7814080721901</v>
      </c>
      <c r="B26">
        <f t="shared" si="1"/>
        <v>7778.2135939914679</v>
      </c>
    </row>
    <row r="27" spans="1:2" x14ac:dyDescent="0.2">
      <c r="A27">
        <f t="shared" si="0"/>
        <v>7778.2135939914679</v>
      </c>
      <c r="B27">
        <f t="shared" si="1"/>
        <v>7700.4314580515529</v>
      </c>
    </row>
    <row r="28" spans="1:2" x14ac:dyDescent="0.2">
      <c r="A28">
        <f t="shared" si="0"/>
        <v>7700.4314580515529</v>
      </c>
      <c r="B28">
        <f t="shared" si="1"/>
        <v>7623.4271434710372</v>
      </c>
    </row>
    <row r="29" spans="1:2" x14ac:dyDescent="0.2">
      <c r="A29">
        <f t="shared" si="0"/>
        <v>7623.4271434710372</v>
      </c>
      <c r="B29">
        <f t="shared" si="1"/>
        <v>7547.1928720363267</v>
      </c>
    </row>
    <row r="30" spans="1:2" x14ac:dyDescent="0.2">
      <c r="A30">
        <f t="shared" si="0"/>
        <v>7547.1928720363267</v>
      </c>
      <c r="B30">
        <f t="shared" si="1"/>
        <v>7471.7209433159633</v>
      </c>
    </row>
    <row r="31" spans="1:2" x14ac:dyDescent="0.2">
      <c r="A31">
        <f t="shared" si="0"/>
        <v>7471.7209433159633</v>
      </c>
      <c r="B31">
        <f t="shared" si="1"/>
        <v>7397.0037338828033</v>
      </c>
    </row>
    <row r="32" spans="1:2" x14ac:dyDescent="0.2">
      <c r="A32">
        <f t="shared" si="0"/>
        <v>7397.0037338828033</v>
      </c>
      <c r="B32">
        <f t="shared" si="1"/>
        <v>7323.0336965439756</v>
      </c>
    </row>
    <row r="33" spans="1:2" x14ac:dyDescent="0.2">
      <c r="A33">
        <f t="shared" si="0"/>
        <v>7323.0336965439756</v>
      </c>
      <c r="B33">
        <f t="shared" si="1"/>
        <v>7249.8033595785355</v>
      </c>
    </row>
    <row r="34" spans="1:2" x14ac:dyDescent="0.2">
      <c r="A34">
        <f t="shared" si="0"/>
        <v>7249.8033595785355</v>
      </c>
      <c r="B34">
        <f t="shared" si="1"/>
        <v>7177.3053259827502</v>
      </c>
    </row>
    <row r="35" spans="1:2" x14ac:dyDescent="0.2">
      <c r="A35">
        <f t="shared" si="0"/>
        <v>7177.3053259827502</v>
      </c>
      <c r="B35">
        <f t="shared" si="1"/>
        <v>7105.5322727229232</v>
      </c>
    </row>
    <row r="36" spans="1:2" x14ac:dyDescent="0.2">
      <c r="A36">
        <f t="shared" si="0"/>
        <v>7105.5322727229232</v>
      </c>
      <c r="B36">
        <f t="shared" si="1"/>
        <v>7034.4769499956938</v>
      </c>
    </row>
    <row r="37" spans="1:2" x14ac:dyDescent="0.2">
      <c r="A37">
        <f t="shared" si="0"/>
        <v>7034.4769499956938</v>
      </c>
      <c r="B37">
        <f t="shared" si="1"/>
        <v>6964.132180495737</v>
      </c>
    </row>
    <row r="38" spans="1:2" x14ac:dyDescent="0.2">
      <c r="A38">
        <f t="shared" si="0"/>
        <v>6964.132180495737</v>
      </c>
      <c r="B38">
        <f t="shared" si="1"/>
        <v>6894.4908586907795</v>
      </c>
    </row>
    <row r="39" spans="1:2" x14ac:dyDescent="0.2">
      <c r="A39">
        <f t="shared" si="0"/>
        <v>6894.4908586907795</v>
      </c>
      <c r="B39">
        <f t="shared" si="1"/>
        <v>6825.5459501038713</v>
      </c>
    </row>
    <row r="40" spans="1:2" x14ac:dyDescent="0.2">
      <c r="A40">
        <f t="shared" si="0"/>
        <v>6825.5459501038713</v>
      </c>
      <c r="B40">
        <f t="shared" si="1"/>
        <v>6757.2904906028325</v>
      </c>
    </row>
    <row r="41" spans="1:2" x14ac:dyDescent="0.2">
      <c r="A41">
        <f t="shared" si="0"/>
        <v>6757.2904906028325</v>
      </c>
      <c r="B41">
        <f t="shared" si="1"/>
        <v>6689.7175856968042</v>
      </c>
    </row>
    <row r="42" spans="1:2" x14ac:dyDescent="0.2">
      <c r="A42">
        <f t="shared" si="0"/>
        <v>6689.7175856968042</v>
      </c>
      <c r="B42">
        <f t="shared" si="1"/>
        <v>6622.8204098398364</v>
      </c>
    </row>
    <row r="43" spans="1:2" x14ac:dyDescent="0.2">
      <c r="A43">
        <f t="shared" si="0"/>
        <v>6622.8204098398364</v>
      </c>
      <c r="B43">
        <f t="shared" si="1"/>
        <v>6556.5922057414382</v>
      </c>
    </row>
    <row r="44" spans="1:2" x14ac:dyDescent="0.2">
      <c r="A44">
        <f t="shared" si="0"/>
        <v>6556.5922057414382</v>
      </c>
      <c r="B44">
        <f t="shared" si="1"/>
        <v>6491.0262836840238</v>
      </c>
    </row>
    <row r="45" spans="1:2" x14ac:dyDescent="0.2">
      <c r="A45">
        <f t="shared" si="0"/>
        <v>6491.0262836840238</v>
      </c>
      <c r="B45">
        <f t="shared" si="1"/>
        <v>6426.1160208471838</v>
      </c>
    </row>
    <row r="46" spans="1:2" x14ac:dyDescent="0.2">
      <c r="A46">
        <f t="shared" si="0"/>
        <v>6426.1160208471838</v>
      </c>
      <c r="B46">
        <f t="shared" si="1"/>
        <v>6361.8548606387121</v>
      </c>
    </row>
    <row r="47" spans="1:2" x14ac:dyDescent="0.2">
      <c r="A47">
        <f t="shared" si="0"/>
        <v>6361.8548606387121</v>
      </c>
      <c r="B47">
        <f t="shared" si="1"/>
        <v>6298.2363120323253</v>
      </c>
    </row>
    <row r="48" spans="1:2" x14ac:dyDescent="0.2">
      <c r="A48">
        <f t="shared" si="0"/>
        <v>6298.2363120323253</v>
      </c>
      <c r="B48">
        <f t="shared" si="1"/>
        <v>6235.2539489120018</v>
      </c>
    </row>
    <row r="49" spans="1:2" x14ac:dyDescent="0.2">
      <c r="A49">
        <f t="shared" si="0"/>
        <v>6235.2539489120018</v>
      </c>
      <c r="B49">
        <f t="shared" si="1"/>
        <v>6172.9014094228814</v>
      </c>
    </row>
    <row r="50" spans="1:2" x14ac:dyDescent="0.2">
      <c r="A50">
        <f t="shared" si="0"/>
        <v>6172.9014094228814</v>
      </c>
      <c r="B50">
        <f t="shared" si="1"/>
        <v>6111.1723953286528</v>
      </c>
    </row>
    <row r="51" spans="1:2" x14ac:dyDescent="0.2">
      <c r="A51">
        <f t="shared" si="0"/>
        <v>6111.1723953286528</v>
      </c>
      <c r="B51">
        <f t="shared" si="1"/>
        <v>6050.0606713753659</v>
      </c>
    </row>
    <row r="52" spans="1:2" x14ac:dyDescent="0.2">
      <c r="A52">
        <f t="shared" si="0"/>
        <v>6050.0606713753659</v>
      </c>
      <c r="B52">
        <f t="shared" si="1"/>
        <v>5989.5600646616122</v>
      </c>
    </row>
    <row r="53" spans="1:2" x14ac:dyDescent="0.2">
      <c r="A53">
        <f t="shared" si="0"/>
        <v>5989.5600646616122</v>
      </c>
      <c r="B53">
        <f t="shared" si="1"/>
        <v>5929.6644640149962</v>
      </c>
    </row>
    <row r="54" spans="1:2" x14ac:dyDescent="0.2">
      <c r="A54">
        <f t="shared" si="0"/>
        <v>5929.6644640149962</v>
      </c>
      <c r="B54">
        <f t="shared" si="1"/>
        <v>5870.3678193748465</v>
      </c>
    </row>
    <row r="55" spans="1:2" x14ac:dyDescent="0.2">
      <c r="A55">
        <f t="shared" si="0"/>
        <v>5870.3678193748465</v>
      </c>
      <c r="B55">
        <f t="shared" si="1"/>
        <v>5811.6641411810979</v>
      </c>
    </row>
    <row r="56" spans="1:2" x14ac:dyDescent="0.2">
      <c r="A56">
        <f t="shared" si="0"/>
        <v>5811.6641411810979</v>
      </c>
      <c r="B56">
        <f t="shared" si="1"/>
        <v>5753.5474997692872</v>
      </c>
    </row>
    <row r="57" spans="1:2" x14ac:dyDescent="0.2">
      <c r="A57">
        <f t="shared" si="0"/>
        <v>5753.5474997692872</v>
      </c>
      <c r="B57">
        <f t="shared" si="1"/>
        <v>5696.012024771594</v>
      </c>
    </row>
    <row r="58" spans="1:2" x14ac:dyDescent="0.2">
      <c r="A58">
        <f t="shared" si="0"/>
        <v>5696.012024771594</v>
      </c>
      <c r="B58">
        <f t="shared" si="1"/>
        <v>5639.051904523878</v>
      </c>
    </row>
    <row r="59" spans="1:2" x14ac:dyDescent="0.2">
      <c r="A59">
        <f t="shared" si="0"/>
        <v>5639.051904523878</v>
      </c>
      <c r="B59">
        <f t="shared" si="1"/>
        <v>5582.6613854786392</v>
      </c>
    </row>
    <row r="60" spans="1:2" x14ac:dyDescent="0.2">
      <c r="A60">
        <f t="shared" si="0"/>
        <v>5582.6613854786392</v>
      </c>
      <c r="B60">
        <f t="shared" si="1"/>
        <v>5526.8347716238532</v>
      </c>
    </row>
    <row r="61" spans="1:2" x14ac:dyDescent="0.2">
      <c r="A61">
        <f t="shared" si="0"/>
        <v>5526.8347716238532</v>
      </c>
      <c r="B61">
        <f t="shared" si="1"/>
        <v>5471.566423907615</v>
      </c>
    </row>
    <row r="62" spans="1:2" x14ac:dyDescent="0.2">
      <c r="A62">
        <f t="shared" si="0"/>
        <v>5471.566423907615</v>
      </c>
      <c r="B62">
        <f t="shared" si="1"/>
        <v>5416.8507596685386</v>
      </c>
    </row>
    <row r="63" spans="1:2" x14ac:dyDescent="0.2">
      <c r="A63">
        <f t="shared" si="0"/>
        <v>5416.8507596685386</v>
      </c>
      <c r="B63">
        <f t="shared" si="1"/>
        <v>5362.6822520718533</v>
      </c>
    </row>
    <row r="64" spans="1:2" x14ac:dyDescent="0.2">
      <c r="A64">
        <f t="shared" si="0"/>
        <v>5362.6822520718533</v>
      </c>
      <c r="B64">
        <f t="shared" si="1"/>
        <v>5309.0554295511347</v>
      </c>
    </row>
    <row r="65" spans="1:2" x14ac:dyDescent="0.2">
      <c r="A65">
        <f t="shared" si="0"/>
        <v>5309.0554295511347</v>
      </c>
      <c r="B65">
        <f t="shared" si="1"/>
        <v>5255.9648752556232</v>
      </c>
    </row>
    <row r="66" spans="1:2" x14ac:dyDescent="0.2">
      <c r="A66">
        <f t="shared" si="0"/>
        <v>5255.9648752556232</v>
      </c>
      <c r="B66">
        <f t="shared" si="1"/>
        <v>5203.4052265030668</v>
      </c>
    </row>
    <row r="67" spans="1:2" x14ac:dyDescent="0.2">
      <c r="A67">
        <f t="shared" si="0"/>
        <v>5203.4052265030668</v>
      </c>
      <c r="B67">
        <f t="shared" si="1"/>
        <v>5151.3711742380365</v>
      </c>
    </row>
    <row r="68" spans="1:2" x14ac:dyDescent="0.2">
      <c r="A68">
        <f t="shared" ref="A68:A73" si="2">B67</f>
        <v>5151.3711742380365</v>
      </c>
      <c r="B68">
        <f t="shared" ref="B68:B73" si="3">A68-A68*$C$1</f>
        <v>5099.8574624956564</v>
      </c>
    </row>
    <row r="69" spans="1:2" x14ac:dyDescent="0.2">
      <c r="A69">
        <f t="shared" si="2"/>
        <v>5099.8574624956564</v>
      </c>
      <c r="B69">
        <f t="shared" si="3"/>
        <v>5048.8588878706996</v>
      </c>
    </row>
    <row r="70" spans="1:2" x14ac:dyDescent="0.2">
      <c r="A70">
        <f t="shared" si="2"/>
        <v>5048.8588878706996</v>
      </c>
      <c r="B70">
        <f t="shared" si="3"/>
        <v>4998.370298991993</v>
      </c>
    </row>
    <row r="71" spans="1:2" x14ac:dyDescent="0.2">
      <c r="A71">
        <f t="shared" si="2"/>
        <v>4998.370298991993</v>
      </c>
      <c r="B71">
        <f t="shared" si="3"/>
        <v>4948.386596002073</v>
      </c>
    </row>
    <row r="72" spans="1:2" x14ac:dyDescent="0.2">
      <c r="A72">
        <f t="shared" si="2"/>
        <v>4948.386596002073</v>
      </c>
      <c r="B72">
        <f t="shared" si="3"/>
        <v>4898.9027300420521</v>
      </c>
    </row>
    <row r="73" spans="1:2" x14ac:dyDescent="0.2">
      <c r="A73">
        <f t="shared" si="2"/>
        <v>4898.9027300420521</v>
      </c>
      <c r="B73">
        <f t="shared" si="3"/>
        <v>4849.9137027416318</v>
      </c>
    </row>
    <row r="74" spans="1:2" x14ac:dyDescent="0.2">
      <c r="A74">
        <f>B73</f>
        <v>4849.9137027416318</v>
      </c>
      <c r="B74">
        <f>A74-A74*$C$1</f>
        <v>4801.4145657142153</v>
      </c>
    </row>
    <row r="75" spans="1:2" x14ac:dyDescent="0.2">
      <c r="A75">
        <f t="shared" ref="A75:A91" si="4">B74</f>
        <v>4801.4145657142153</v>
      </c>
      <c r="B75">
        <f t="shared" ref="B75:B91" si="5">A75-A75*$C$1</f>
        <v>4753.4004200570735</v>
      </c>
    </row>
    <row r="76" spans="1:2" x14ac:dyDescent="0.2">
      <c r="A76">
        <f t="shared" si="4"/>
        <v>4753.4004200570735</v>
      </c>
      <c r="B76">
        <f t="shared" si="5"/>
        <v>4705.8664158565025</v>
      </c>
    </row>
    <row r="77" spans="1:2" x14ac:dyDescent="0.2">
      <c r="A77">
        <f t="shared" si="4"/>
        <v>4705.8664158565025</v>
      </c>
      <c r="B77">
        <f t="shared" si="5"/>
        <v>4658.8077516979374</v>
      </c>
    </row>
    <row r="78" spans="1:2" x14ac:dyDescent="0.2">
      <c r="A78">
        <f t="shared" si="4"/>
        <v>4658.8077516979374</v>
      </c>
      <c r="B78">
        <f t="shared" si="5"/>
        <v>4612.2196741809585</v>
      </c>
    </row>
    <row r="79" spans="1:2" x14ac:dyDescent="0.2">
      <c r="A79">
        <f t="shared" si="4"/>
        <v>4612.2196741809585</v>
      </c>
      <c r="B79">
        <f t="shared" si="5"/>
        <v>4566.0974774391489</v>
      </c>
    </row>
    <row r="80" spans="1:2" x14ac:dyDescent="0.2">
      <c r="A80">
        <f t="shared" si="4"/>
        <v>4566.0974774391489</v>
      </c>
      <c r="B80">
        <f t="shared" si="5"/>
        <v>4520.4365026647574</v>
      </c>
    </row>
    <row r="81" spans="1:2" x14ac:dyDescent="0.2">
      <c r="A81">
        <f t="shared" si="4"/>
        <v>4520.4365026647574</v>
      </c>
      <c r="B81">
        <f t="shared" si="5"/>
        <v>4475.2321376381096</v>
      </c>
    </row>
    <row r="82" spans="1:2" x14ac:dyDescent="0.2">
      <c r="A82">
        <f t="shared" si="4"/>
        <v>4475.2321376381096</v>
      </c>
      <c r="B82">
        <f t="shared" si="5"/>
        <v>4430.479816261729</v>
      </c>
    </row>
    <row r="83" spans="1:2" x14ac:dyDescent="0.2">
      <c r="A83">
        <f t="shared" si="4"/>
        <v>4430.479816261729</v>
      </c>
      <c r="B83">
        <f t="shared" si="5"/>
        <v>4386.1750180991121</v>
      </c>
    </row>
    <row r="84" spans="1:2" x14ac:dyDescent="0.2">
      <c r="A84">
        <f t="shared" si="4"/>
        <v>4386.1750180991121</v>
      </c>
      <c r="B84">
        <f t="shared" si="5"/>
        <v>4342.3132679181208</v>
      </c>
    </row>
    <row r="85" spans="1:2" x14ac:dyDescent="0.2">
      <c r="A85">
        <f t="shared" si="4"/>
        <v>4342.3132679181208</v>
      </c>
      <c r="B85">
        <f t="shared" si="5"/>
        <v>4298.8901352389394</v>
      </c>
    </row>
    <row r="86" spans="1:2" x14ac:dyDescent="0.2">
      <c r="A86">
        <f t="shared" si="4"/>
        <v>4298.8901352389394</v>
      </c>
      <c r="B86">
        <f t="shared" si="5"/>
        <v>4255.9012338865496</v>
      </c>
    </row>
    <row r="87" spans="1:2" x14ac:dyDescent="0.2">
      <c r="A87">
        <f t="shared" si="4"/>
        <v>4255.9012338865496</v>
      </c>
      <c r="B87">
        <f t="shared" si="5"/>
        <v>4213.3422215476839</v>
      </c>
    </row>
    <row r="88" spans="1:2" x14ac:dyDescent="0.2">
      <c r="A88">
        <f t="shared" si="4"/>
        <v>4213.3422215476839</v>
      </c>
      <c r="B88">
        <f t="shared" si="5"/>
        <v>4171.2087993322075</v>
      </c>
    </row>
    <row r="89" spans="1:2" x14ac:dyDescent="0.2">
      <c r="A89">
        <f t="shared" si="4"/>
        <v>4171.2087993322075</v>
      </c>
      <c r="B89">
        <f t="shared" si="5"/>
        <v>4129.4967113388857</v>
      </c>
    </row>
    <row r="90" spans="1:2" x14ac:dyDescent="0.2">
      <c r="A90">
        <f t="shared" si="4"/>
        <v>4129.4967113388857</v>
      </c>
      <c r="B90">
        <f t="shared" si="5"/>
        <v>4088.2017442254969</v>
      </c>
    </row>
    <row r="91" spans="1:2" x14ac:dyDescent="0.2">
      <c r="A91">
        <f t="shared" si="4"/>
        <v>4088.2017442254969</v>
      </c>
      <c r="B91">
        <f t="shared" si="5"/>
        <v>4047.319726783242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I24"/>
  <sheetViews>
    <sheetView zoomScale="160" zoomScaleNormal="160" workbookViewId="0">
      <selection activeCell="H12" sqref="H12"/>
    </sheetView>
  </sheetViews>
  <sheetFormatPr baseColWidth="10" defaultRowHeight="12.75" x14ac:dyDescent="0.2"/>
  <cols>
    <col min="2" max="3" width="12.5703125" bestFit="1" customWidth="1"/>
    <col min="5" max="5" width="13.140625" bestFit="1" customWidth="1"/>
    <col min="8" max="8" width="12.7109375" bestFit="1" customWidth="1"/>
  </cols>
  <sheetData>
    <row r="1" spans="1:9" x14ac:dyDescent="0.2">
      <c r="B1" t="s">
        <v>6</v>
      </c>
    </row>
    <row r="2" spans="1:9" x14ac:dyDescent="0.2">
      <c r="A2" t="s">
        <v>2</v>
      </c>
      <c r="B2" s="6">
        <v>50000</v>
      </c>
      <c r="C2" s="2"/>
      <c r="E2" s="2"/>
    </row>
    <row r="3" spans="1:9" x14ac:dyDescent="0.2">
      <c r="A3" t="s">
        <v>5</v>
      </c>
      <c r="B3" s="7">
        <v>5.1999999999999998E-2</v>
      </c>
      <c r="C3" s="4"/>
      <c r="E3" s="3"/>
    </row>
    <row r="4" spans="1:9" x14ac:dyDescent="0.2">
      <c r="A4" t="s">
        <v>1</v>
      </c>
      <c r="B4" s="6">
        <v>15</v>
      </c>
    </row>
    <row r="5" spans="1:9" x14ac:dyDescent="0.2">
      <c r="B5" s="6">
        <v>12</v>
      </c>
    </row>
    <row r="6" spans="1:9" x14ac:dyDescent="0.2">
      <c r="A6" t="s">
        <v>0</v>
      </c>
      <c r="B6" s="15">
        <f>PMT(B3/B5,B4*B5,-B2)</f>
        <v>400.62557096192523</v>
      </c>
    </row>
    <row r="8" spans="1:9" x14ac:dyDescent="0.2">
      <c r="B8" s="5" t="s">
        <v>13</v>
      </c>
      <c r="C8" s="5" t="s">
        <v>14</v>
      </c>
      <c r="D8" s="5" t="s">
        <v>15</v>
      </c>
      <c r="E8" s="5" t="s">
        <v>16</v>
      </c>
    </row>
    <row r="9" spans="1:9" x14ac:dyDescent="0.2">
      <c r="A9" s="5">
        <v>1</v>
      </c>
      <c r="B9" s="14">
        <f>B2</f>
        <v>50000</v>
      </c>
      <c r="C9" s="14">
        <f>B9*$B$3/$B$5</f>
        <v>216.66666666666666</v>
      </c>
      <c r="D9" s="14">
        <f>$B$6-C9</f>
        <v>183.95890429525858</v>
      </c>
      <c r="E9" s="14">
        <f>B9-D9</f>
        <v>49816.041095704742</v>
      </c>
      <c r="H9" s="13">
        <f>PPMT(5.2%/12,12,15*12,-50000)</f>
        <v>192.92009212354913</v>
      </c>
      <c r="I9" t="s">
        <v>9</v>
      </c>
    </row>
    <row r="10" spans="1:9" x14ac:dyDescent="0.2">
      <c r="A10" s="5">
        <v>2</v>
      </c>
      <c r="B10" s="14">
        <f>E9</f>
        <v>49816.041095704742</v>
      </c>
      <c r="C10" s="14">
        <f>B10*$B$3/$B$5</f>
        <v>215.86951141472056</v>
      </c>
      <c r="D10" s="14">
        <f>$B$6-C10</f>
        <v>184.75605954720467</v>
      </c>
      <c r="E10" s="14">
        <f>B10-D10</f>
        <v>49631.28503615754</v>
      </c>
      <c r="H10" s="13">
        <f>IPMT(5.2%/12,1,15*12,-50000)</f>
        <v>216.66666666666671</v>
      </c>
      <c r="I10" t="s">
        <v>4</v>
      </c>
    </row>
    <row r="11" spans="1:9" x14ac:dyDescent="0.2">
      <c r="A11" s="5">
        <v>3</v>
      </c>
      <c r="B11" s="14">
        <f t="shared" ref="B11:B20" si="0">E10</f>
        <v>49631.28503615754</v>
      </c>
      <c r="C11" s="14">
        <f t="shared" ref="C11:C20" si="1">B11*$B$3/$B$5</f>
        <v>215.06890182334931</v>
      </c>
      <c r="D11" s="14">
        <f t="shared" ref="D11:D20" si="2">$B$6-C11</f>
        <v>185.55666913857593</v>
      </c>
      <c r="E11" s="14">
        <f t="shared" ref="E11:E20" si="3">B11-D11</f>
        <v>49445.728367018964</v>
      </c>
      <c r="H11" s="13"/>
    </row>
    <row r="12" spans="1:9" x14ac:dyDescent="0.2">
      <c r="A12" s="5">
        <v>4</v>
      </c>
      <c r="B12" s="14">
        <f t="shared" si="0"/>
        <v>49445.728367018964</v>
      </c>
      <c r="C12" s="14">
        <f t="shared" si="1"/>
        <v>214.26482292374885</v>
      </c>
      <c r="D12" s="14">
        <f t="shared" si="2"/>
        <v>186.36074803817638</v>
      </c>
      <c r="E12" s="14">
        <f t="shared" si="3"/>
        <v>49259.367618980788</v>
      </c>
      <c r="H12" s="13">
        <f>CUMIPMT(5.2%/12,15*12,50000,1,12,0)</f>
        <v>-2546.6203375063455</v>
      </c>
      <c r="I12" t="s">
        <v>10</v>
      </c>
    </row>
    <row r="13" spans="1:9" x14ac:dyDescent="0.2">
      <c r="A13" s="5">
        <v>5</v>
      </c>
      <c r="B13" s="14">
        <f t="shared" si="0"/>
        <v>49259.367618980788</v>
      </c>
      <c r="C13" s="14">
        <f t="shared" si="1"/>
        <v>213.45725968225008</v>
      </c>
      <c r="D13" s="14">
        <f t="shared" si="2"/>
        <v>187.16831127967515</v>
      </c>
      <c r="E13" s="14">
        <f t="shared" si="3"/>
        <v>49072.199307701114</v>
      </c>
      <c r="H13" s="13">
        <f>CUMPRINC(5.2%/12,15*12,50000,1,12,0)</f>
        <v>-2260.8865140367575</v>
      </c>
      <c r="I13" t="s">
        <v>11</v>
      </c>
    </row>
    <row r="14" spans="1:9" x14ac:dyDescent="0.2">
      <c r="A14" s="5">
        <v>6</v>
      </c>
      <c r="B14" s="14">
        <f t="shared" si="0"/>
        <v>49072.199307701114</v>
      </c>
      <c r="C14" s="14">
        <f t="shared" si="1"/>
        <v>212.64619700003814</v>
      </c>
      <c r="D14" s="14">
        <f t="shared" si="2"/>
        <v>187.97937396188709</v>
      </c>
      <c r="E14" s="14">
        <f t="shared" si="3"/>
        <v>48884.21993373923</v>
      </c>
    </row>
    <row r="15" spans="1:9" x14ac:dyDescent="0.2">
      <c r="A15" s="5">
        <v>7</v>
      </c>
      <c r="B15" s="14">
        <f t="shared" si="0"/>
        <v>48884.21993373923</v>
      </c>
      <c r="C15" s="14">
        <f t="shared" si="1"/>
        <v>211.83161971286998</v>
      </c>
      <c r="D15" s="14">
        <f t="shared" si="2"/>
        <v>188.79395124905525</v>
      </c>
      <c r="E15" s="14">
        <f t="shared" si="3"/>
        <v>48695.425982490175</v>
      </c>
    </row>
    <row r="16" spans="1:9" x14ac:dyDescent="0.2">
      <c r="A16" s="5">
        <v>8</v>
      </c>
      <c r="B16" s="14">
        <f t="shared" si="0"/>
        <v>48695.425982490175</v>
      </c>
      <c r="C16" s="14">
        <f t="shared" si="1"/>
        <v>211.01351259079073</v>
      </c>
      <c r="D16" s="14">
        <f t="shared" si="2"/>
        <v>189.61205837113451</v>
      </c>
      <c r="E16" s="14">
        <f t="shared" si="3"/>
        <v>48505.813924119037</v>
      </c>
    </row>
    <row r="17" spans="1:5" x14ac:dyDescent="0.2">
      <c r="A17" s="5">
        <v>9</v>
      </c>
      <c r="B17" s="14">
        <f t="shared" si="0"/>
        <v>48505.813924119037</v>
      </c>
      <c r="C17" s="14">
        <f t="shared" si="1"/>
        <v>210.19186033784914</v>
      </c>
      <c r="D17" s="14">
        <f t="shared" si="2"/>
        <v>190.4337106240761</v>
      </c>
      <c r="E17" s="14">
        <f t="shared" si="3"/>
        <v>48315.380213494958</v>
      </c>
    </row>
    <row r="18" spans="1:5" x14ac:dyDescent="0.2">
      <c r="A18" s="5">
        <v>10</v>
      </c>
      <c r="B18" s="14">
        <f t="shared" si="0"/>
        <v>48315.380213494958</v>
      </c>
      <c r="C18" s="14">
        <f t="shared" si="1"/>
        <v>209.36664759181147</v>
      </c>
      <c r="D18" s="14">
        <f t="shared" si="2"/>
        <v>191.25892337011376</v>
      </c>
      <c r="E18" s="14">
        <f t="shared" si="3"/>
        <v>48124.121290124844</v>
      </c>
    </row>
    <row r="19" spans="1:5" x14ac:dyDescent="0.2">
      <c r="A19" s="5">
        <v>11</v>
      </c>
      <c r="B19" s="14">
        <f t="shared" si="0"/>
        <v>48124.121290124844</v>
      </c>
      <c r="C19" s="14">
        <f t="shared" si="1"/>
        <v>208.5378589238743</v>
      </c>
      <c r="D19" s="14">
        <f t="shared" si="2"/>
        <v>192.08771203805094</v>
      </c>
      <c r="E19" s="14">
        <f t="shared" si="3"/>
        <v>47932.03357808679</v>
      </c>
    </row>
    <row r="20" spans="1:5" x14ac:dyDescent="0.2">
      <c r="A20" s="5">
        <v>12</v>
      </c>
      <c r="B20" s="14">
        <f t="shared" si="0"/>
        <v>47932.03357808679</v>
      </c>
      <c r="C20" s="14">
        <f t="shared" si="1"/>
        <v>207.70547883837608</v>
      </c>
      <c r="D20" s="14">
        <f t="shared" si="2"/>
        <v>192.92009212354915</v>
      </c>
      <c r="E20" s="14">
        <f t="shared" si="3"/>
        <v>47739.113485963244</v>
      </c>
    </row>
    <row r="21" spans="1:5" x14ac:dyDescent="0.2">
      <c r="B21" s="2"/>
      <c r="D21" s="2"/>
      <c r="E21" s="2"/>
    </row>
    <row r="22" spans="1:5" x14ac:dyDescent="0.2">
      <c r="A22" t="s">
        <v>12</v>
      </c>
      <c r="B22" s="2"/>
      <c r="C22" s="16">
        <f>SUM(C9:C21)</f>
        <v>2546.6203375063455</v>
      </c>
      <c r="D22" s="16">
        <f>SUM(D9:D21)</f>
        <v>2260.8865140367575</v>
      </c>
      <c r="E22" s="2"/>
    </row>
    <row r="23" spans="1:5" x14ac:dyDescent="0.2">
      <c r="B23" s="2"/>
      <c r="D23" s="2"/>
      <c r="E23" s="2"/>
    </row>
    <row r="24" spans="1:5" x14ac:dyDescent="0.2">
      <c r="B24" s="2"/>
      <c r="D24" s="2"/>
      <c r="E24" s="2"/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F18"/>
  <sheetViews>
    <sheetView zoomScale="220" zoomScaleNormal="220" workbookViewId="0">
      <selection activeCell="B15" sqref="B15"/>
    </sheetView>
  </sheetViews>
  <sheetFormatPr baseColWidth="10" defaultRowHeight="12.75" x14ac:dyDescent="0.2"/>
  <cols>
    <col min="1" max="1" width="14.7109375" bestFit="1" customWidth="1"/>
    <col min="2" max="3" width="13.7109375" bestFit="1" customWidth="1"/>
    <col min="6" max="6" width="13.7109375" bestFit="1" customWidth="1"/>
  </cols>
  <sheetData>
    <row r="1" spans="1:6" x14ac:dyDescent="0.2">
      <c r="A1" s="13">
        <v>-150000</v>
      </c>
      <c r="B1" s="8">
        <v>43831</v>
      </c>
      <c r="F1" s="9"/>
    </row>
    <row r="2" spans="1:6" x14ac:dyDescent="0.2">
      <c r="A2" s="13">
        <v>24000</v>
      </c>
      <c r="B2" s="8">
        <v>44136</v>
      </c>
      <c r="F2" s="10"/>
    </row>
    <row r="3" spans="1:6" x14ac:dyDescent="0.2">
      <c r="A3" s="13">
        <v>33000</v>
      </c>
      <c r="B3" s="8">
        <v>44348</v>
      </c>
      <c r="F3" s="10"/>
    </row>
    <row r="4" spans="1:6" x14ac:dyDescent="0.2">
      <c r="A4" s="13">
        <v>36000</v>
      </c>
      <c r="B4" s="8">
        <v>44621</v>
      </c>
      <c r="F4" s="10"/>
    </row>
    <row r="5" spans="1:6" x14ac:dyDescent="0.2">
      <c r="A5" s="13">
        <v>40000</v>
      </c>
      <c r="B5" s="8">
        <v>44910</v>
      </c>
      <c r="F5" s="10"/>
    </row>
    <row r="6" spans="1:6" x14ac:dyDescent="0.2">
      <c r="A6" s="13">
        <v>52000</v>
      </c>
      <c r="B6" s="8">
        <v>45170</v>
      </c>
    </row>
    <row r="7" spans="1:6" x14ac:dyDescent="0.2">
      <c r="F7" s="11"/>
    </row>
    <row r="8" spans="1:6" x14ac:dyDescent="0.2">
      <c r="A8" t="s">
        <v>17</v>
      </c>
      <c r="B8" s="3">
        <f>IRR(A1:A5)</f>
        <v>-4.3295847268804311E-2</v>
      </c>
    </row>
    <row r="9" spans="1:6" x14ac:dyDescent="0.2">
      <c r="A9" t="s">
        <v>18</v>
      </c>
      <c r="B9" s="3">
        <f>IRR(A1:A6)</f>
        <v>6.6056504315649578E-2</v>
      </c>
    </row>
    <row r="11" spans="1:6" x14ac:dyDescent="0.2">
      <c r="A11" t="s">
        <v>19</v>
      </c>
      <c r="B11" s="3">
        <f>MIRR(A1:A4,9%,12.5%)</f>
        <v>-0.11634440775963883</v>
      </c>
    </row>
    <row r="12" spans="1:6" x14ac:dyDescent="0.2">
      <c r="A12" t="s">
        <v>20</v>
      </c>
      <c r="B12" s="3">
        <f>MIRR(A1:A5,9%,12.5%)</f>
        <v>1.0560693374607188E-2</v>
      </c>
    </row>
    <row r="13" spans="1:6" x14ac:dyDescent="0.2">
      <c r="A13" t="s">
        <v>21</v>
      </c>
      <c r="B13" s="3">
        <f>MIRR(A1:A6,9%,12.5%)</f>
        <v>8.7340942794086107E-2</v>
      </c>
    </row>
    <row r="15" spans="1:6" x14ac:dyDescent="0.2">
      <c r="A15" t="s">
        <v>22</v>
      </c>
      <c r="B15" s="11">
        <f>XIRR(A1:A6,B1:B6)</f>
        <v>9.0997484326362607E-2</v>
      </c>
      <c r="C15" s="12"/>
    </row>
    <row r="16" spans="1:6" x14ac:dyDescent="0.2">
      <c r="A16" t="s">
        <v>24</v>
      </c>
      <c r="B16" s="13">
        <f>XNPV(12.5%,A1:A6,B1:B6)</f>
        <v>-10426.637965792739</v>
      </c>
    </row>
    <row r="18" spans="1:2" x14ac:dyDescent="0.2">
      <c r="A18" t="s">
        <v>23</v>
      </c>
      <c r="B18" s="14">
        <f>NPV(12.5%,A1,A2,A3,A4,A5,A6)</f>
        <v>-20871.584992501528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  <ignoredErrors>
    <ignoredError sqref="B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>rem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René Martin</dc:creator>
  <cp:lastModifiedBy>Rene Martin</cp:lastModifiedBy>
  <dcterms:created xsi:type="dcterms:W3CDTF">1998-10-15T21:34:56Z</dcterms:created>
  <dcterms:modified xsi:type="dcterms:W3CDTF">2022-03-30T21:05:48Z</dcterms:modified>
</cp:coreProperties>
</file>